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0" windowWidth="20640" windowHeight="11040" tabRatio="837" activeTab="1"/>
  </bookViews>
  <sheets>
    <sheet name="TH nguon" sheetId="6" r:id="rId1"/>
    <sheet name="01- Thị trấn Lăng Can" sheetId="20" r:id="rId2"/>
    <sheet name="PL điều chỉnh hợp đồng 2023" sheetId="19" state="hidden" r:id="rId3"/>
  </sheets>
  <externalReferences>
    <externalReference r:id="rId4"/>
    <externalReference r:id="rId5"/>
  </externalReferences>
  <definedNames>
    <definedName name="_xlnm.Print_Area" localSheetId="1">'01- Thị trấn Lăng Can'!$A$1:$G$40</definedName>
    <definedName name="_xlnm.Print_Area" localSheetId="2">'PL điều chỉnh hợp đồng 2023'!$A$1:$L$244</definedName>
    <definedName name="_xlnm.Print_Area" localSheetId="0">'TH nguon'!$A$1:$F$12</definedName>
    <definedName name="_xlnm.Print_Titles" localSheetId="1">'01- Thị trấn Lăng Can'!$4:$5</definedName>
    <definedName name="_xlnm.Print_Titles" localSheetId="2">'PL điều chỉnh hợp đồng 2023'!$4:$7</definedName>
  </definedNames>
  <calcPr calcId="144525"/>
</workbook>
</file>

<file path=xl/calcChain.xml><?xml version="1.0" encoding="utf-8"?>
<calcChain xmlns="http://schemas.openxmlformats.org/spreadsheetml/2006/main">
  <c r="E34" i="20" l="1"/>
  <c r="E28" i="20"/>
  <c r="E27" i="20"/>
  <c r="E26" i="20"/>
  <c r="E24" i="20"/>
  <c r="E23" i="20"/>
  <c r="E22" i="20"/>
  <c r="E21" i="20"/>
  <c r="E20" i="20"/>
  <c r="E15" i="20"/>
  <c r="F15" i="20" s="1"/>
  <c r="E13" i="20"/>
  <c r="F13" i="20" s="1"/>
  <c r="E12" i="20"/>
  <c r="E11" i="20"/>
  <c r="F11" i="20" s="1"/>
  <c r="H11" i="20" s="1"/>
  <c r="E10" i="20"/>
  <c r="F10" i="20" s="1"/>
  <c r="H10" i="20" s="1"/>
  <c r="E9" i="20"/>
  <c r="F9" i="20" s="1"/>
  <c r="H9" i="20" s="1"/>
  <c r="E17" i="20"/>
  <c r="F17" i="20"/>
  <c r="F16" i="20" s="1"/>
  <c r="J16" i="20"/>
  <c r="J14" i="20"/>
  <c r="F12" i="20"/>
  <c r="H12" i="20" s="1"/>
  <c r="J10" i="20"/>
  <c r="I10" i="20"/>
  <c r="I11" i="20" s="1"/>
  <c r="K9" i="20"/>
  <c r="K10" i="20" s="1"/>
  <c r="F8" i="20" l="1"/>
  <c r="F14" i="20"/>
  <c r="E12" i="6"/>
  <c r="E30" i="20"/>
  <c r="E31" i="20"/>
  <c r="E32" i="20" s="1"/>
  <c r="F32" i="20" s="1"/>
  <c r="F7" i="20" l="1"/>
  <c r="E29" i="20"/>
  <c r="F34" i="20" l="1"/>
  <c r="F31" i="20"/>
  <c r="F30" i="20"/>
  <c r="F27" i="20"/>
  <c r="F28" i="20"/>
  <c r="F29" i="20"/>
  <c r="F26" i="20"/>
  <c r="F21" i="20"/>
  <c r="F22" i="20"/>
  <c r="F23" i="20"/>
  <c r="F24" i="20"/>
  <c r="F20" i="20"/>
  <c r="F25" i="20" l="1"/>
  <c r="I35" i="20"/>
  <c r="J33" i="20" l="1"/>
  <c r="J25" i="20"/>
  <c r="J21" i="20"/>
  <c r="K20" i="20" s="1"/>
  <c r="K21" i="20" s="1"/>
  <c r="J6" i="20"/>
  <c r="H23" i="20" l="1"/>
  <c r="H22" i="20"/>
  <c r="H21" i="20"/>
  <c r="I21" i="20"/>
  <c r="I22" i="20" s="1"/>
  <c r="H20" i="20"/>
  <c r="F33" i="20"/>
  <c r="H121" i="19"/>
  <c r="H168" i="19"/>
  <c r="H119" i="19"/>
  <c r="F19" i="20" l="1"/>
  <c r="F18" i="20" s="1"/>
  <c r="F6" i="20" s="1"/>
  <c r="H117" i="19"/>
  <c r="H116" i="19"/>
  <c r="H115" i="19"/>
  <c r="H228" i="19" l="1"/>
  <c r="K228" i="19"/>
  <c r="K168" i="19"/>
  <c r="K116" i="19"/>
  <c r="K117" i="19"/>
  <c r="K118" i="19"/>
  <c r="K119" i="19"/>
  <c r="K115" i="19"/>
  <c r="H229" i="19"/>
  <c r="K229" i="19" s="1"/>
  <c r="H221" i="19"/>
  <c r="H215" i="19"/>
  <c r="H209" i="19"/>
  <c r="H203" i="19"/>
  <c r="H197" i="19"/>
  <c r="H191" i="19"/>
  <c r="H177" i="19"/>
  <c r="H169" i="19"/>
  <c r="K169" i="19" s="1"/>
  <c r="H120" i="19"/>
  <c r="G180" i="19"/>
  <c r="J180" i="19" s="1"/>
  <c r="J179" i="19" s="1"/>
  <c r="J118" i="19"/>
  <c r="G15" i="19"/>
  <c r="G228" i="19"/>
  <c r="G221" i="19"/>
  <c r="G215" i="19"/>
  <c r="G209" i="19"/>
  <c r="G203" i="19"/>
  <c r="G197" i="19"/>
  <c r="G191" i="19"/>
  <c r="G177" i="19"/>
  <c r="G171" i="19"/>
  <c r="G168" i="19"/>
  <c r="J168" i="19" s="1"/>
  <c r="G162" i="19"/>
  <c r="G159" i="19"/>
  <c r="G160" i="19"/>
  <c r="G158" i="19"/>
  <c r="G155" i="19"/>
  <c r="G156" i="19"/>
  <c r="G154" i="19"/>
  <c r="G151" i="19"/>
  <c r="H151" i="19" s="1"/>
  <c r="K151" i="19" s="1"/>
  <c r="G152" i="19"/>
  <c r="G150" i="19"/>
  <c r="H150" i="19" s="1"/>
  <c r="K150" i="19" s="1"/>
  <c r="G147" i="19"/>
  <c r="H147" i="19" s="1"/>
  <c r="K147" i="19" s="1"/>
  <c r="G148" i="19"/>
  <c r="H148" i="19" s="1"/>
  <c r="K148" i="19" s="1"/>
  <c r="G146" i="19"/>
  <c r="H146" i="19" s="1"/>
  <c r="K146" i="19" s="1"/>
  <c r="G143" i="19"/>
  <c r="H143" i="19" s="1"/>
  <c r="K143" i="19" s="1"/>
  <c r="G144" i="19"/>
  <c r="H144" i="19" s="1"/>
  <c r="K144" i="19" s="1"/>
  <c r="G142" i="19"/>
  <c r="H142" i="19" s="1"/>
  <c r="K142" i="19" s="1"/>
  <c r="G139" i="19"/>
  <c r="H139" i="19" s="1"/>
  <c r="K139" i="19" s="1"/>
  <c r="G140" i="19"/>
  <c r="H140" i="19" s="1"/>
  <c r="K140" i="19" s="1"/>
  <c r="G138" i="19"/>
  <c r="H138" i="19" s="1"/>
  <c r="K138" i="19" s="1"/>
  <c r="G135" i="19"/>
  <c r="H135" i="19" s="1"/>
  <c r="K135" i="19" s="1"/>
  <c r="G136" i="19"/>
  <c r="H136" i="19" s="1"/>
  <c r="K136" i="19" s="1"/>
  <c r="G134" i="19"/>
  <c r="H134" i="19" s="1"/>
  <c r="K134" i="19" s="1"/>
  <c r="G131" i="19"/>
  <c r="H131" i="19" s="1"/>
  <c r="K131" i="19" s="1"/>
  <c r="G132" i="19"/>
  <c r="H132" i="19" s="1"/>
  <c r="K132" i="19" s="1"/>
  <c r="G130" i="19"/>
  <c r="H130" i="19" s="1"/>
  <c r="K130" i="19" s="1"/>
  <c r="G128" i="19"/>
  <c r="H128" i="19" s="1"/>
  <c r="K128" i="19" s="1"/>
  <c r="G127" i="19"/>
  <c r="H127" i="19" s="1"/>
  <c r="K127" i="19" s="1"/>
  <c r="G126" i="19"/>
  <c r="H126" i="19" s="1"/>
  <c r="K126" i="19" s="1"/>
  <c r="G125" i="19"/>
  <c r="H125" i="19" s="1"/>
  <c r="K125" i="19" s="1"/>
  <c r="G117" i="19"/>
  <c r="G116" i="19"/>
  <c r="G115" i="19"/>
  <c r="G122" i="19"/>
  <c r="H122" i="19" s="1"/>
  <c r="G121" i="19"/>
  <c r="G119" i="19"/>
  <c r="G120" i="19" s="1"/>
  <c r="J120" i="19" s="1"/>
  <c r="E122" i="19"/>
  <c r="E121" i="19"/>
  <c r="J121" i="19" l="1"/>
  <c r="K121" i="19"/>
  <c r="J122" i="19"/>
  <c r="K122" i="19"/>
  <c r="J177" i="19"/>
  <c r="G178" i="19"/>
  <c r="J191" i="19"/>
  <c r="G192" i="19"/>
  <c r="J192" i="19" s="1"/>
  <c r="J197" i="19"/>
  <c r="G198" i="19"/>
  <c r="J198" i="19" s="1"/>
  <c r="J203" i="19"/>
  <c r="G204" i="19"/>
  <c r="J204" i="19" s="1"/>
  <c r="J209" i="19"/>
  <c r="G210" i="19"/>
  <c r="J210" i="19" s="1"/>
  <c r="J215" i="19"/>
  <c r="G216" i="19"/>
  <c r="J216" i="19" s="1"/>
  <c r="J221" i="19"/>
  <c r="G222" i="19"/>
  <c r="J222" i="19" s="1"/>
  <c r="J228" i="19"/>
  <c r="G229" i="19"/>
  <c r="J229" i="19" s="1"/>
  <c r="K177" i="19"/>
  <c r="H178" i="19"/>
  <c r="K178" i="19" s="1"/>
  <c r="K191" i="19"/>
  <c r="H192" i="19"/>
  <c r="K192" i="19" s="1"/>
  <c r="K197" i="19"/>
  <c r="H198" i="19"/>
  <c r="K198" i="19" s="1"/>
  <c r="H204" i="19"/>
  <c r="K204" i="19" s="1"/>
  <c r="K203" i="19"/>
  <c r="K200" i="19" s="1"/>
  <c r="K199" i="19" s="1"/>
  <c r="H210" i="19"/>
  <c r="K210" i="19" s="1"/>
  <c r="K209" i="19"/>
  <c r="K206" i="19" s="1"/>
  <c r="K205" i="19" s="1"/>
  <c r="H216" i="19"/>
  <c r="K216" i="19" s="1"/>
  <c r="K215" i="19"/>
  <c r="K212" i="19" s="1"/>
  <c r="K211" i="19" s="1"/>
  <c r="H222" i="19"/>
  <c r="K222" i="19" s="1"/>
  <c r="K221" i="19"/>
  <c r="J35" i="20"/>
  <c r="H185" i="19"/>
  <c r="H186" i="19"/>
  <c r="K186" i="19" s="1"/>
  <c r="M185" i="19"/>
  <c r="K120" i="19"/>
  <c r="K114" i="19" s="1"/>
  <c r="K133" i="19"/>
  <c r="K141" i="19"/>
  <c r="K129" i="19"/>
  <c r="K137" i="19"/>
  <c r="K145" i="19"/>
  <c r="K225" i="19"/>
  <c r="K224" i="19" s="1"/>
  <c r="K223" i="19" s="1"/>
  <c r="K233" i="19" s="1"/>
  <c r="K218" i="19"/>
  <c r="K217" i="19" s="1"/>
  <c r="K188" i="19"/>
  <c r="K187" i="19" s="1"/>
  <c r="K164" i="19"/>
  <c r="K124" i="19"/>
  <c r="H156" i="19"/>
  <c r="K156" i="19" s="1"/>
  <c r="J156" i="19"/>
  <c r="H158" i="19"/>
  <c r="K158" i="19" s="1"/>
  <c r="J158" i="19"/>
  <c r="H159" i="19"/>
  <c r="K159" i="19" s="1"/>
  <c r="J159" i="19"/>
  <c r="H171" i="19"/>
  <c r="K171" i="19" s="1"/>
  <c r="K170" i="19" s="1"/>
  <c r="J171" i="19"/>
  <c r="J170" i="19" s="1"/>
  <c r="G185" i="19"/>
  <c r="J185" i="19" s="1"/>
  <c r="J183" i="19" s="1"/>
  <c r="J182" i="19" s="1"/>
  <c r="J178" i="19"/>
  <c r="J15" i="19"/>
  <c r="J11" i="19" s="1"/>
  <c r="H15" i="19"/>
  <c r="K15" i="19" s="1"/>
  <c r="K11" i="19" s="1"/>
  <c r="J115" i="19"/>
  <c r="M115" i="19" s="1"/>
  <c r="J119" i="19"/>
  <c r="J117" i="19"/>
  <c r="M117" i="19" s="1"/>
  <c r="J128" i="19"/>
  <c r="J126" i="19"/>
  <c r="J132" i="19"/>
  <c r="J134" i="19"/>
  <c r="J135" i="19"/>
  <c r="J140" i="19"/>
  <c r="J142" i="19"/>
  <c r="J143" i="19"/>
  <c r="J148" i="19"/>
  <c r="J150" i="19"/>
  <c r="H152" i="19"/>
  <c r="K152" i="19" s="1"/>
  <c r="K149" i="19" s="1"/>
  <c r="J152" i="19"/>
  <c r="H154" i="19"/>
  <c r="K154" i="19" s="1"/>
  <c r="J154" i="19"/>
  <c r="H155" i="19"/>
  <c r="K155" i="19" s="1"/>
  <c r="K153" i="19" s="1"/>
  <c r="J155" i="19"/>
  <c r="H160" i="19"/>
  <c r="K160" i="19" s="1"/>
  <c r="J160" i="19"/>
  <c r="H162" i="19"/>
  <c r="K162" i="19" s="1"/>
  <c r="K161" i="19" s="1"/>
  <c r="J162" i="19"/>
  <c r="J161" i="19" s="1"/>
  <c r="G169" i="19"/>
  <c r="J169" i="19" s="1"/>
  <c r="J173" i="19"/>
  <c r="J188" i="19"/>
  <c r="J187" i="19" s="1"/>
  <c r="J194" i="19"/>
  <c r="J193" i="19" s="1"/>
  <c r="J200" i="19"/>
  <c r="J199" i="19" s="1"/>
  <c r="J218" i="19"/>
  <c r="J217" i="19" s="1"/>
  <c r="J225" i="19"/>
  <c r="J224" i="19" s="1"/>
  <c r="J223" i="19" s="1"/>
  <c r="J233" i="19" s="1"/>
  <c r="J116" i="19"/>
  <c r="M116" i="19" s="1"/>
  <c r="J125" i="19"/>
  <c r="J127" i="19"/>
  <c r="J130" i="19"/>
  <c r="J131" i="19"/>
  <c r="J136" i="19"/>
  <c r="J138" i="19"/>
  <c r="J139" i="19"/>
  <c r="J144" i="19"/>
  <c r="J146" i="19"/>
  <c r="J147" i="19"/>
  <c r="J151" i="19"/>
  <c r="K185" i="19"/>
  <c r="H180" i="19"/>
  <c r="K180" i="19" s="1"/>
  <c r="K179" i="19" s="1"/>
  <c r="J212" i="19"/>
  <c r="J211" i="19" s="1"/>
  <c r="J206" i="19"/>
  <c r="J205" i="19" s="1"/>
  <c r="J172" i="19"/>
  <c r="J164" i="19"/>
  <c r="J163" i="19" s="1"/>
  <c r="K157" i="19" l="1"/>
  <c r="K163" i="19"/>
  <c r="K194" i="19"/>
  <c r="K193" i="19" s="1"/>
  <c r="K173" i="19"/>
  <c r="K172" i="19" s="1"/>
  <c r="K183" i="19"/>
  <c r="M183" i="19" s="1"/>
  <c r="J145" i="19"/>
  <c r="J129" i="19"/>
  <c r="K123" i="19"/>
  <c r="K113" i="19" s="1"/>
  <c r="K112" i="19" s="1"/>
  <c r="K231" i="19" s="1"/>
  <c r="J141" i="19"/>
  <c r="J133" i="19"/>
  <c r="J157" i="19"/>
  <c r="J137" i="19"/>
  <c r="J124" i="19"/>
  <c r="J153" i="19"/>
  <c r="J149" i="19"/>
  <c r="J114" i="19"/>
  <c r="J181" i="19"/>
  <c r="J232" i="19" s="1"/>
  <c r="K182" i="19" l="1"/>
  <c r="K181" i="19" s="1"/>
  <c r="K232" i="19" s="1"/>
  <c r="J123" i="19"/>
  <c r="J113" i="19" s="1"/>
  <c r="J112" i="19" s="1"/>
  <c r="J231" i="19" s="1"/>
  <c r="K230" i="19"/>
  <c r="K111" i="19"/>
  <c r="J230" i="19"/>
  <c r="J111" i="19"/>
  <c r="G110" i="19" l="1"/>
  <c r="G108" i="19"/>
  <c r="G106" i="19"/>
  <c r="G100" i="19"/>
  <c r="G98" i="19"/>
  <c r="G96" i="19"/>
  <c r="G92" i="19"/>
  <c r="G90" i="19"/>
  <c r="G88" i="19"/>
  <c r="G84" i="19"/>
  <c r="G82" i="19"/>
  <c r="G80" i="19"/>
  <c r="G75" i="19"/>
  <c r="G66" i="19"/>
  <c r="G73" i="19"/>
  <c r="G71" i="19"/>
  <c r="G64" i="19"/>
  <c r="G62" i="19"/>
  <c r="G57" i="19"/>
  <c r="G55" i="19"/>
  <c r="G53" i="19"/>
  <c r="G46" i="19"/>
  <c r="G44" i="19"/>
  <c r="G42" i="19"/>
  <c r="G36" i="19"/>
  <c r="G34" i="19"/>
  <c r="G33" i="19"/>
  <c r="G31" i="19"/>
  <c r="G25" i="19"/>
  <c r="G24" i="19"/>
  <c r="G23" i="19"/>
  <c r="G22" i="19"/>
  <c r="G20" i="19"/>
  <c r="G19" i="19"/>
  <c r="I227" i="19"/>
  <c r="I226" i="19"/>
  <c r="I225" i="19" s="1"/>
  <c r="I220" i="19"/>
  <c r="I219" i="19"/>
  <c r="I218" i="19" s="1"/>
  <c r="I214" i="19"/>
  <c r="I213" i="19"/>
  <c r="I212" i="19" s="1"/>
  <c r="I208" i="19"/>
  <c r="I207" i="19"/>
  <c r="I206" i="19" s="1"/>
  <c r="I202" i="19"/>
  <c r="I201" i="19"/>
  <c r="I200" i="19" s="1"/>
  <c r="I196" i="19"/>
  <c r="I195" i="19"/>
  <c r="I194" i="19" s="1"/>
  <c r="I190" i="19"/>
  <c r="I189" i="19"/>
  <c r="I188" i="19" s="1"/>
  <c r="I184" i="19"/>
  <c r="I183" i="19" s="1"/>
  <c r="I180" i="19"/>
  <c r="I176" i="19"/>
  <c r="I175" i="19"/>
  <c r="I174" i="19"/>
  <c r="I171" i="19"/>
  <c r="I170" i="19" s="1"/>
  <c r="I167" i="19"/>
  <c r="I166" i="19"/>
  <c r="I165" i="19"/>
  <c r="I162" i="19"/>
  <c r="I160" i="19"/>
  <c r="I158" i="19"/>
  <c r="I156" i="19"/>
  <c r="I154" i="19"/>
  <c r="I152" i="19"/>
  <c r="I150" i="19"/>
  <c r="I148" i="19"/>
  <c r="I146" i="19"/>
  <c r="I144" i="19"/>
  <c r="I142" i="19"/>
  <c r="I140" i="19"/>
  <c r="I138" i="19"/>
  <c r="I136" i="19"/>
  <c r="I134" i="19"/>
  <c r="I132" i="19"/>
  <c r="I130" i="19"/>
  <c r="I128" i="19"/>
  <c r="I127" i="19"/>
  <c r="I126" i="19"/>
  <c r="I125" i="19"/>
  <c r="O123" i="19"/>
  <c r="I122" i="19"/>
  <c r="I121" i="19"/>
  <c r="M121" i="19" s="1"/>
  <c r="I118" i="19"/>
  <c r="I117" i="19"/>
  <c r="O116" i="19"/>
  <c r="P115" i="19" s="1"/>
  <c r="I116" i="19"/>
  <c r="I115" i="19"/>
  <c r="O113" i="19"/>
  <c r="O111" i="19"/>
  <c r="I110" i="19"/>
  <c r="I109" i="19" s="1"/>
  <c r="I108" i="19"/>
  <c r="I107" i="19" s="1"/>
  <c r="I105" i="19"/>
  <c r="I104" i="19"/>
  <c r="I103" i="19" s="1"/>
  <c r="I100" i="19"/>
  <c r="I98" i="19"/>
  <c r="I95" i="19"/>
  <c r="I94" i="19" s="1"/>
  <c r="I92" i="19"/>
  <c r="I90" i="19"/>
  <c r="I87" i="19"/>
  <c r="I86" i="19" s="1"/>
  <c r="I84" i="19"/>
  <c r="I82" i="19"/>
  <c r="I79" i="19"/>
  <c r="I78" i="19"/>
  <c r="I77" i="19" s="1"/>
  <c r="I75" i="19"/>
  <c r="I73" i="19"/>
  <c r="I70" i="19"/>
  <c r="I69" i="19"/>
  <c r="I68" i="19" s="1"/>
  <c r="I66" i="19"/>
  <c r="I64" i="19"/>
  <c r="I61" i="19"/>
  <c r="I60" i="19"/>
  <c r="I59" i="19" s="1"/>
  <c r="I57" i="19"/>
  <c r="I55" i="19"/>
  <c r="I52" i="19"/>
  <c r="I51" i="19"/>
  <c r="I50" i="19"/>
  <c r="I46" i="19"/>
  <c r="I44" i="19"/>
  <c r="I41" i="19"/>
  <c r="I40" i="19"/>
  <c r="I39" i="19"/>
  <c r="I38" i="19" s="1"/>
  <c r="I36" i="19"/>
  <c r="I34" i="19"/>
  <c r="I33" i="19"/>
  <c r="I30" i="19"/>
  <c r="I29" i="19"/>
  <c r="I28" i="19"/>
  <c r="I27" i="19" s="1"/>
  <c r="I25" i="19"/>
  <c r="I24" i="19"/>
  <c r="I23" i="19"/>
  <c r="I22" i="19"/>
  <c r="I18" i="19"/>
  <c r="I17" i="19"/>
  <c r="I16" i="19" s="1"/>
  <c r="I14" i="19"/>
  <c r="I13" i="19"/>
  <c r="I12" i="19"/>
  <c r="H19" i="19" l="1"/>
  <c r="K19" i="19" s="1"/>
  <c r="J19" i="19"/>
  <c r="H22" i="19"/>
  <c r="K22" i="19" s="1"/>
  <c r="J22" i="19"/>
  <c r="H24" i="19"/>
  <c r="K24" i="19" s="1"/>
  <c r="J24" i="19"/>
  <c r="H31" i="19"/>
  <c r="K31" i="19" s="1"/>
  <c r="K27" i="19" s="1"/>
  <c r="J31" i="19"/>
  <c r="J27" i="19" s="1"/>
  <c r="H34" i="19"/>
  <c r="K34" i="19" s="1"/>
  <c r="J34" i="19"/>
  <c r="H42" i="19"/>
  <c r="K42" i="19" s="1"/>
  <c r="K38" i="19" s="1"/>
  <c r="J42" i="19"/>
  <c r="J38" i="19" s="1"/>
  <c r="H46" i="19"/>
  <c r="K46" i="19" s="1"/>
  <c r="K45" i="19" s="1"/>
  <c r="J46" i="19"/>
  <c r="J45" i="19" s="1"/>
  <c r="H55" i="19"/>
  <c r="K55" i="19" s="1"/>
  <c r="K54" i="19" s="1"/>
  <c r="J55" i="19"/>
  <c r="J54" i="19" s="1"/>
  <c r="H62" i="19"/>
  <c r="K62" i="19" s="1"/>
  <c r="K59" i="19" s="1"/>
  <c r="J62" i="19"/>
  <c r="J59" i="19" s="1"/>
  <c r="H71" i="19"/>
  <c r="K71" i="19" s="1"/>
  <c r="K68" i="19" s="1"/>
  <c r="J71" i="19"/>
  <c r="J68" i="19" s="1"/>
  <c r="H66" i="19"/>
  <c r="K66" i="19" s="1"/>
  <c r="K65" i="19" s="1"/>
  <c r="J66" i="19"/>
  <c r="J65" i="19" s="1"/>
  <c r="H80" i="19"/>
  <c r="K80" i="19" s="1"/>
  <c r="K77" i="19" s="1"/>
  <c r="J80" i="19"/>
  <c r="J77" i="19" s="1"/>
  <c r="H84" i="19"/>
  <c r="K84" i="19" s="1"/>
  <c r="K83" i="19" s="1"/>
  <c r="J84" i="19"/>
  <c r="J83" i="19" s="1"/>
  <c r="H90" i="19"/>
  <c r="K90" i="19" s="1"/>
  <c r="K89" i="19" s="1"/>
  <c r="J90" i="19"/>
  <c r="J89" i="19" s="1"/>
  <c r="H96" i="19"/>
  <c r="K96" i="19" s="1"/>
  <c r="K94" i="19" s="1"/>
  <c r="J96" i="19"/>
  <c r="J94" i="19" s="1"/>
  <c r="H100" i="19"/>
  <c r="K100" i="19" s="1"/>
  <c r="K99" i="19" s="1"/>
  <c r="J100" i="19"/>
  <c r="J99" i="19" s="1"/>
  <c r="H108" i="19"/>
  <c r="K108" i="19" s="1"/>
  <c r="K107" i="19" s="1"/>
  <c r="J108" i="19"/>
  <c r="J107" i="19" s="1"/>
  <c r="I11" i="19"/>
  <c r="I49" i="19"/>
  <c r="I164" i="19"/>
  <c r="I173" i="19"/>
  <c r="H20" i="19"/>
  <c r="K20" i="19" s="1"/>
  <c r="J20" i="19"/>
  <c r="H23" i="19"/>
  <c r="K23" i="19" s="1"/>
  <c r="J23" i="19"/>
  <c r="H25" i="19"/>
  <c r="K25" i="19" s="1"/>
  <c r="J25" i="19"/>
  <c r="H33" i="19"/>
  <c r="K33" i="19" s="1"/>
  <c r="K32" i="19" s="1"/>
  <c r="J33" i="19"/>
  <c r="H36" i="19"/>
  <c r="K36" i="19" s="1"/>
  <c r="K35" i="19" s="1"/>
  <c r="J36" i="19"/>
  <c r="J35" i="19" s="1"/>
  <c r="H44" i="19"/>
  <c r="K44" i="19" s="1"/>
  <c r="K43" i="19" s="1"/>
  <c r="J44" i="19"/>
  <c r="J43" i="19" s="1"/>
  <c r="H53" i="19"/>
  <c r="K53" i="19" s="1"/>
  <c r="K49" i="19" s="1"/>
  <c r="J53" i="19"/>
  <c r="J49" i="19" s="1"/>
  <c r="H57" i="19"/>
  <c r="K57" i="19" s="1"/>
  <c r="K56" i="19" s="1"/>
  <c r="J57" i="19"/>
  <c r="J56" i="19" s="1"/>
  <c r="H64" i="19"/>
  <c r="K64" i="19" s="1"/>
  <c r="K63" i="19" s="1"/>
  <c r="J64" i="19"/>
  <c r="J63" i="19" s="1"/>
  <c r="H73" i="19"/>
  <c r="K73" i="19" s="1"/>
  <c r="K72" i="19" s="1"/>
  <c r="J73" i="19"/>
  <c r="J72" i="19" s="1"/>
  <c r="H75" i="19"/>
  <c r="K75" i="19" s="1"/>
  <c r="K74" i="19" s="1"/>
  <c r="J75" i="19"/>
  <c r="J74" i="19" s="1"/>
  <c r="H82" i="19"/>
  <c r="K82" i="19" s="1"/>
  <c r="K81" i="19" s="1"/>
  <c r="J82" i="19"/>
  <c r="J81" i="19" s="1"/>
  <c r="H88" i="19"/>
  <c r="K88" i="19" s="1"/>
  <c r="K86" i="19" s="1"/>
  <c r="J88" i="19"/>
  <c r="J86" i="19" s="1"/>
  <c r="H92" i="19"/>
  <c r="K92" i="19" s="1"/>
  <c r="K91" i="19" s="1"/>
  <c r="J92" i="19"/>
  <c r="J91" i="19" s="1"/>
  <c r="H98" i="19"/>
  <c r="K98" i="19" s="1"/>
  <c r="K97" i="19" s="1"/>
  <c r="J98" i="19"/>
  <c r="J97" i="19" s="1"/>
  <c r="H106" i="19"/>
  <c r="K106" i="19" s="1"/>
  <c r="K103" i="19" s="1"/>
  <c r="J106" i="19"/>
  <c r="J103" i="19" s="1"/>
  <c r="H110" i="19"/>
  <c r="K110" i="19" s="1"/>
  <c r="K109" i="19" s="1"/>
  <c r="J110" i="19"/>
  <c r="J109" i="19" s="1"/>
  <c r="I72" i="19"/>
  <c r="I74" i="19"/>
  <c r="I163" i="19"/>
  <c r="I83" i="19"/>
  <c r="I89" i="19"/>
  <c r="I99" i="19"/>
  <c r="I139" i="19"/>
  <c r="I137" i="19" s="1"/>
  <c r="I147" i="19"/>
  <c r="I145" i="19" s="1"/>
  <c r="I155" i="19"/>
  <c r="I153" i="19" s="1"/>
  <c r="I187" i="19"/>
  <c r="I199" i="19"/>
  <c r="I211" i="19"/>
  <c r="I217" i="19"/>
  <c r="I224" i="19"/>
  <c r="I223" i="19" s="1"/>
  <c r="I233" i="19" s="1"/>
  <c r="I35" i="19"/>
  <c r="I43" i="19"/>
  <c r="I56" i="19"/>
  <c r="I65" i="19"/>
  <c r="I81" i="19"/>
  <c r="I91" i="19"/>
  <c r="I97" i="19"/>
  <c r="I135" i="19"/>
  <c r="I143" i="19"/>
  <c r="I151" i="19"/>
  <c r="I159" i="19"/>
  <c r="I161" i="19"/>
  <c r="I182" i="19"/>
  <c r="I45" i="19"/>
  <c r="I54" i="19"/>
  <c r="I63" i="19"/>
  <c r="I131" i="19"/>
  <c r="I129" i="19" s="1"/>
  <c r="I141" i="19"/>
  <c r="I157" i="19"/>
  <c r="I179" i="19"/>
  <c r="I172" i="19" s="1"/>
  <c r="I193" i="19"/>
  <c r="I205" i="19"/>
  <c r="I21" i="19"/>
  <c r="I32" i="19"/>
  <c r="I124" i="19"/>
  <c r="I58" i="19"/>
  <c r="N116" i="19"/>
  <c r="N117" i="19" s="1"/>
  <c r="P116" i="19"/>
  <c r="I102" i="19"/>
  <c r="I101" i="19" s="1"/>
  <c r="I237" i="19" s="1"/>
  <c r="I114" i="19"/>
  <c r="I67" i="19" l="1"/>
  <c r="K102" i="19"/>
  <c r="K101" i="19" s="1"/>
  <c r="K237" i="19" s="1"/>
  <c r="K243" i="19" s="1"/>
  <c r="K85" i="19"/>
  <c r="K93" i="19"/>
  <c r="K48" i="19"/>
  <c r="K26" i="19"/>
  <c r="K76" i="19"/>
  <c r="K58" i="19"/>
  <c r="K37" i="19"/>
  <c r="J102" i="19"/>
  <c r="J101" i="19" s="1"/>
  <c r="J237" i="19" s="1"/>
  <c r="J243" i="19" s="1"/>
  <c r="J85" i="19"/>
  <c r="J48" i="19"/>
  <c r="J93" i="19"/>
  <c r="J76" i="19"/>
  <c r="J67" i="19"/>
  <c r="J58" i="19"/>
  <c r="J37" i="19"/>
  <c r="J32" i="19"/>
  <c r="J26" i="19"/>
  <c r="J21" i="19"/>
  <c r="J16" i="19"/>
  <c r="K67" i="19"/>
  <c r="K21" i="19"/>
  <c r="K16" i="19"/>
  <c r="I243" i="19"/>
  <c r="I37" i="19"/>
  <c r="I181" i="19"/>
  <c r="I232" i="19" s="1"/>
  <c r="I93" i="19"/>
  <c r="I26" i="19"/>
  <c r="I85" i="19"/>
  <c r="I48" i="19"/>
  <c r="I10" i="19"/>
  <c r="I149" i="19"/>
  <c r="I133" i="19"/>
  <c r="I76" i="19"/>
  <c r="O161" i="19"/>
  <c r="J10" i="19" l="1"/>
  <c r="J9" i="19" s="1"/>
  <c r="J235" i="19"/>
  <c r="K47" i="19"/>
  <c r="K236" i="19" s="1"/>
  <c r="K242" i="19" s="1"/>
  <c r="K10" i="19"/>
  <c r="K9" i="19" s="1"/>
  <c r="K235" i="19" s="1"/>
  <c r="J47" i="19"/>
  <c r="J236" i="19" s="1"/>
  <c r="J242" i="19" s="1"/>
  <c r="I47" i="19"/>
  <c r="I236" i="19" s="1"/>
  <c r="I242" i="19" s="1"/>
  <c r="I9" i="19"/>
  <c r="I235" i="19" s="1"/>
  <c r="I123" i="19"/>
  <c r="I113" i="19" s="1"/>
  <c r="I112" i="19" s="1"/>
  <c r="I231" i="19" s="1"/>
  <c r="O112" i="19"/>
  <c r="O242" i="19"/>
  <c r="K234" i="19" l="1"/>
  <c r="K241" i="19"/>
  <c r="K238" i="19" s="1"/>
  <c r="J234" i="19"/>
  <c r="J241" i="19"/>
  <c r="J238" i="19" s="1"/>
  <c r="K8" i="19"/>
  <c r="J8" i="19"/>
  <c r="I8" i="19"/>
  <c r="I234" i="19"/>
  <c r="I241" i="19"/>
  <c r="I238" i="19" s="1"/>
  <c r="I230" i="19"/>
  <c r="O230" i="19" s="1"/>
  <c r="I111" i="19"/>
  <c r="O241" i="19" l="1"/>
  <c r="F37" i="20" l="1"/>
  <c r="D12" i="6" s="1"/>
  <c r="E11" i="6"/>
  <c r="F35" i="20" l="1"/>
  <c r="F39" i="20"/>
  <c r="D11" i="6" l="1"/>
  <c r="C12" i="6"/>
  <c r="C11" i="6" l="1"/>
</calcChain>
</file>

<file path=xl/comments1.xml><?xml version="1.0" encoding="utf-8"?>
<comments xmlns="http://schemas.openxmlformats.org/spreadsheetml/2006/main">
  <authors>
    <author>Tommy_Phan</author>
  </authors>
  <commentList>
    <comment ref="B36" authorId="0">
      <text>
        <r>
          <rPr>
            <sz val="8"/>
            <rFont val="Tahoma"/>
            <family val="2"/>
          </rPr>
          <t>UBND xã, mầm non, tiểu học, THCS</t>
        </r>
      </text>
    </comment>
    <comment ref="B46" authorId="0">
      <text>
        <r>
          <rPr>
            <sz val="8"/>
            <rFont val="Tahoma"/>
            <family val="2"/>
          </rPr>
          <t xml:space="preserve"> Mầm non, tiểu học, THCS, UBND xã</t>
        </r>
      </text>
    </comment>
    <comment ref="B57" authorId="0">
      <text>
        <r>
          <rPr>
            <sz val="8"/>
            <rFont val="Tahoma"/>
            <family val="2"/>
          </rPr>
          <t>UBND xã, Mầm non, tiểu học, THCS</t>
        </r>
      </text>
    </comment>
    <comment ref="B92" authorId="0">
      <text>
        <r>
          <rPr>
            <sz val="8"/>
            <rFont val="Tahoma"/>
            <family val="2"/>
          </rPr>
          <t>Trường mầm non, tiểu học, THCS, UBND xã</t>
        </r>
      </text>
    </comment>
    <comment ref="B100" authorId="0">
      <text>
        <r>
          <rPr>
            <sz val="8"/>
            <rFont val="Tahoma"/>
            <family val="2"/>
          </rPr>
          <t xml:space="preserve"> Trường mầm non, tiểu học, THCS, UBND x ã</t>
        </r>
      </text>
    </comment>
  </commentList>
</comments>
</file>

<file path=xl/sharedStrings.xml><?xml version="1.0" encoding="utf-8"?>
<sst xmlns="http://schemas.openxmlformats.org/spreadsheetml/2006/main" count="716" uniqueCount="201">
  <si>
    <t>Tổng cộng</t>
  </si>
  <si>
    <t>Xã Khuôn Hà</t>
  </si>
  <si>
    <t>Xã Thượng Lâm</t>
  </si>
  <si>
    <t>Xã Bình An</t>
  </si>
  <si>
    <t>Xã Thổ Bình</t>
  </si>
  <si>
    <t>Xã Hồng Quang</t>
  </si>
  <si>
    <t>Xã Phúc Yên</t>
  </si>
  <si>
    <t>Xã Xuân Lập</t>
  </si>
  <si>
    <t>Thị trấn Lăng Can</t>
  </si>
  <si>
    <t>Xã Minh Quang</t>
  </si>
  <si>
    <t>Xã Phúc Sơn</t>
  </si>
  <si>
    <t>(Kèm theo Tờ trình số:           /TTr-TCKH ngày        /3/2022 của Phòng Tài chính - Kế hoạch)</t>
  </si>
  <si>
    <t>Số TT</t>
  </si>
  <si>
    <t>Nội dung</t>
  </si>
  <si>
    <t>Đơn vị tính</t>
  </si>
  <si>
    <t>Ghi chú</t>
  </si>
  <si>
    <t>Đơn giá</t>
  </si>
  <si>
    <t>A</t>
  </si>
  <si>
    <t>B</t>
  </si>
  <si>
    <t>C</t>
  </si>
  <si>
    <t>Dự toán thu dịch vụ thu gom, vận chuyển rác thải sinh hoạt và vệ sinh môi trường</t>
  </si>
  <si>
    <t>Thu từ cá nhân hộ gia đình</t>
  </si>
  <si>
    <t>Hộ</t>
  </si>
  <si>
    <t>-</t>
  </si>
  <si>
    <t>Cá nhân, hộ gia đình từ 4 người trở xuống</t>
  </si>
  <si>
    <t>Hộ gia đình từ 5 đến 6 người</t>
  </si>
  <si>
    <t>Hộ gia đình từ 7 người trở lên</t>
  </si>
  <si>
    <t>Thu từ các hộ kinh doanh, doanh nghiệp</t>
  </si>
  <si>
    <t>Cơ sở</t>
  </si>
  <si>
    <t>Đối với hộ kinh doanh, buôn bán nhỏ, không phải đóng lệ phí môn bài</t>
  </si>
  <si>
    <t>Đối với hộ kinh doanh, buôn bán, có mức thuế môn bài bậc từ 300.000 đồng/năm đến 1.000.000 đồng/năm</t>
  </si>
  <si>
    <t>Thu từ các cơ quan, đơn vị, tổ chức chính trị xã hội</t>
  </si>
  <si>
    <t>Cơ quan</t>
  </si>
  <si>
    <t>Cơ quan, đơn vị dưới 30 người</t>
  </si>
  <si>
    <t>Cơ quan, đơn vị trên 50 người</t>
  </si>
  <si>
    <t>Chợ Lăng Can</t>
  </si>
  <si>
    <t>Trung tâm Y tế huyện</t>
  </si>
  <si>
    <t>Dự toán chi</t>
  </si>
  <si>
    <t>I</t>
  </si>
  <si>
    <t>Công tác thu gom, vận chuyển, xử lý rác thải sinh hoạt, tưới nước rửa đường</t>
  </si>
  <si>
    <t xml:space="preserve">Công tác quét, gom rác đường phố bằng thủ công </t>
  </si>
  <si>
    <t>Đồng/ha/
10.000m2</t>
  </si>
  <si>
    <t xml:space="preserve">Công tác quét, gom rác hè phố bằng thủ công </t>
  </si>
  <si>
    <t>Công tác duy trì vệ sinh ngõ xóm bằng thủ công</t>
  </si>
  <si>
    <t>Đồng/1 km</t>
  </si>
  <si>
    <t>Công tác thu gom rác sinh hoạt từ các xe thô sơ (xe đẩy tay) tại các điểm tập kết rác lên xe ép rác, vận chuyển đến địa điểm đổ rác với cự ly &lt; 15km, xe &lt;=5 tấn</t>
  </si>
  <si>
    <t>Đồng/1 tấn rác</t>
  </si>
  <si>
    <t>Xử lý rác bằng lò đốt tại bãi rác</t>
  </si>
  <si>
    <t>Đồng/Ngày đêm</t>
  </si>
  <si>
    <t>Công tác tưới nước rửa đường, ô tô tưới nước &lt; 10m3 (tưới 1 làn, 1 lượt/ngày)</t>
  </si>
  <si>
    <t>Công tác tưới nước rửa đường, ô tô tưới nước &lt; 10m3 (tưới 2 làn, 1 lượt/ngày)</t>
  </si>
  <si>
    <t>II</t>
  </si>
  <si>
    <t>Chăm sóc cây xanh, bồn hoa</t>
  </si>
  <si>
    <t xml:space="preserve">Tưới nước thảm cỏ thuần chủng bằng thủ công </t>
  </si>
  <si>
    <t>Phát thảm cỏ thuần chủng bằng thủ công</t>
  </si>
  <si>
    <t xml:space="preserve">Bón phân thảm cỏ </t>
  </si>
  <si>
    <t>Duy trì cây hàng rào, đường viền</t>
  </si>
  <si>
    <t>III</t>
  </si>
  <si>
    <t xml:space="preserve">Quản lý, duy trì hệ thống điện chiếu sáng đô thị </t>
  </si>
  <si>
    <t>Duy trì trạm 2 chế độ bằng đồng hồ hẹn giờ: 15 trạm</t>
  </si>
  <si>
    <t>Đồng/1 trạm /ngày</t>
  </si>
  <si>
    <t>IV</t>
  </si>
  <si>
    <t>NGUỒN THỰC HIỆN NHIỆM VỤ CHI</t>
  </si>
  <si>
    <t>Nguồn thu giá dịch vụ</t>
  </si>
  <si>
    <t>Nguồn Ngân sách nhà nước cấp</t>
  </si>
  <si>
    <t>Trong đó</t>
  </si>
  <si>
    <t xml:space="preserve"> - Ngân sách địa phương</t>
  </si>
  <si>
    <t xml:space="preserve"> - Ngân sách Trung ương </t>
  </si>
  <si>
    <t xml:space="preserve"> ĐƠN VỊ THỰC HIỆN: PHÒNG KINH TẾ VÀ HẠ TẦNG</t>
  </si>
  <si>
    <t>Nguồn kinh phí thực hiện</t>
  </si>
  <si>
    <t>Nguồn thu dịch vụ thu gom, vận chuyển rác thải sinh hoạt và vệ sinh môi trường</t>
  </si>
  <si>
    <t>Chi tiết theo biểu đính kèm</t>
  </si>
  <si>
    <t>Nội dung dịch vụ</t>
  </si>
  <si>
    <t>Đơn vị tính (Đồng)</t>
  </si>
  <si>
    <t>Tại giải phân cách của tuyến đường đôi</t>
  </si>
  <si>
    <t>Đồng/100 m2/lần</t>
  </si>
  <si>
    <t>Đồng/100 m2 /lần</t>
  </si>
  <si>
    <t>Đồng/100 m2/năm</t>
  </si>
  <si>
    <t>Tại vườn hoa đối diện Trường nội trú</t>
  </si>
  <si>
    <t>Tưới nước thảm cỏ thuần chủng bằng thủ công</t>
  </si>
  <si>
    <t>Tại vườn hoa khu dân cư Nà Ky</t>
  </si>
  <si>
    <t>Tại vườn hoa khu ngã 3 An Vệ</t>
  </si>
  <si>
    <t>Tại vườn hoa đầu cầu Nà Khà</t>
  </si>
  <si>
    <t>Tại vườn hoa Khu dân cư Nà Thẳm</t>
  </si>
  <si>
    <t>Tại vườn hoa ngã 4 nhà Tòa Án huyện</t>
  </si>
  <si>
    <t>Tại vườn hoa trước trụ sợ làm việc của Huyện ủy, HĐND và UBND huyện</t>
  </si>
  <si>
    <t>Tại Đền Pú Bảo</t>
  </si>
  <si>
    <t>Công tác thu gom, vận chuyển, xử lý rác thải sinh hoạt</t>
  </si>
  <si>
    <t xml:space="preserve">Quét, gom rác đường phố bằng thủ công </t>
  </si>
  <si>
    <t xml:space="preserve">Quét, gom rác hè phố bằng thủ công </t>
  </si>
  <si>
    <t>Công tác thu gom rác sinh hoạt từ các xe thô sơ (xe đẩy tay) tại các điểm tập kết rác lên xe ép rác, vận chuyển đến địa điểm đổ rác với cự ly 15 km &lt; L &lt;= 20 km, xe &lt;=5 tấn</t>
  </si>
  <si>
    <t>Duy trì trạm 2 chế độ bằng đồng hồ hẹn giờ: 01 trạm</t>
  </si>
  <si>
    <t>Quét, gom rác đường phố bằng thủ công</t>
  </si>
  <si>
    <t>Quét hàng ngày</t>
  </si>
  <si>
    <t>Công tác thu gom rác sinh hoạt từ các xe thô sơ (xe đẩy tay) tại các điểm tập kết rác lên xe ép rác, vận chuyển đến địa điểm đổ rác với cự ly 20 km &lt; L &lt;= 25 km, xe &lt;=5 tấn</t>
  </si>
  <si>
    <t>Mỗi ngày khoảng 1,02 tấn rác</t>
  </si>
  <si>
    <t>Công tác thu gom rác sinh hoạt từ các xe thô sơ (xe đẩy tay) tại các điểm tập kết rác lên xe ép rác, vận chuyển đến địa điểm đổ rác với cự ly 40 km &lt; L &lt;= 45 km, xe &lt;=5 tấn</t>
  </si>
  <si>
    <t>Mỗi ngày khoảng 0,504 tấn rác</t>
  </si>
  <si>
    <t>Mỗi ngày khoảng 0,336 tấn rác</t>
  </si>
  <si>
    <t>9=2*5</t>
  </si>
  <si>
    <t>Công ty cổ phần Tuyên Quang Xanh</t>
  </si>
  <si>
    <t>B1</t>
  </si>
  <si>
    <t>B2</t>
  </si>
  <si>
    <t>Công ty cổ phần Ngân Đức</t>
  </si>
  <si>
    <t>A1</t>
  </si>
  <si>
    <t>A2</t>
  </si>
  <si>
    <t>V</t>
  </si>
  <si>
    <t>VI</t>
  </si>
  <si>
    <t>A3</t>
  </si>
  <si>
    <t>B1.1</t>
  </si>
  <si>
    <t>B1.2</t>
  </si>
  <si>
    <t>B1.3</t>
  </si>
  <si>
    <t>B2.1</t>
  </si>
  <si>
    <t>Công tác xử lý rác thải sinh hoạt</t>
  </si>
  <si>
    <t>B2.2</t>
  </si>
  <si>
    <t>B2.3</t>
  </si>
  <si>
    <t>B2.4</t>
  </si>
  <si>
    <t>B2.5</t>
  </si>
  <si>
    <t>B2.6</t>
  </si>
  <si>
    <t>B3</t>
  </si>
  <si>
    <t>B3.1</t>
  </si>
  <si>
    <t xml:space="preserve">Công ty cổ phần Tuyên Quang Xanh </t>
  </si>
  <si>
    <t>Công ty TNHH Công nghệ môi trường Tâm Hà</t>
  </si>
  <si>
    <t>Công ty cổ phần Tuyên Quang Xanh (làm tròn)</t>
  </si>
  <si>
    <t>Công ty cổ phần Ngân Đức (làm tròn)</t>
  </si>
  <si>
    <t>Công ty TNHH công nghệ môi trường Tâm Hà  (làm tròn)</t>
  </si>
  <si>
    <t>Công ty TNHH công nghệ môi trường Tâm Hà</t>
  </si>
  <si>
    <t xml:space="preserve">Công ty TNHH công nghệ môi trường Tâm Hà </t>
  </si>
  <si>
    <t>ĐẠI DIỆN BÊN A</t>
  </si>
  <si>
    <t>VĂN PHÒNG HUYỆN LÂM BÌNH</t>
  </si>
  <si>
    <t>CHÁNH VĂN PHÒNG</t>
  </si>
  <si>
    <t>Trịnh Văn Năm</t>
  </si>
  <si>
    <t>CÔNG TY CP TUYÊN QUANG XANH</t>
  </si>
  <si>
    <t>Dìu Nhật Nam</t>
  </si>
  <si>
    <t>GIÁM ĐỐC</t>
  </si>
  <si>
    <t>CÔNG TY TNHH CNMT TÂM HÀ</t>
  </si>
  <si>
    <t>Tạ Huy Hoàng</t>
  </si>
  <si>
    <t>(Kèm theo Hợp đồng số 03/HĐKT-DVCI ngày 21/5/2022 giữa Văn Phòng huyện Lâm Bình (Đơn vị sử dụng: Phòng Kinh tế và Hạ tầng huyện Lâm Bình) 
và Liên danh Công ty cổ phần Tuyên Quang Xanh - Công ty cổ phần Ngân Đức - Công ty TNHH công nghệ môi trường Tâm Hà )</t>
  </si>
  <si>
    <t>Số lượng năm 2023</t>
  </si>
  <si>
    <t>Theo HĐ 
đã ký</t>
  </si>
  <si>
    <t>Điều chỉnh theo đơn giá 2023 (không điều chỉnh khối lượng)</t>
  </si>
  <si>
    <t>Năm 2023 (UBND tỉnh phê duyệt)</t>
  </si>
  <si>
    <t>Hộ gia đình, cá nhân phải chi trả</t>
  </si>
  <si>
    <t>Người</t>
  </si>
  <si>
    <t>Khối lượng rác dưới 05kg/ngày</t>
  </si>
  <si>
    <t>Khối lượng rác từ 05kg/ngày đến dưới 10kg/ngày</t>
  </si>
  <si>
    <t>Giá dịch vụ thu gom, vận chuyển chất thải rắn sinh hoạt đến điểm tập kết, trạm trung chuyển</t>
  </si>
  <si>
    <t>Giá dịch vụ thu gom, vận chuyển từ điểm tập kết chất thải rắn sinh hoạt (xe đẩy tay) lên xe ép rác đến địa điểm xử lý</t>
  </si>
  <si>
    <t>Giá dịch vụ xử lý chất thải rắn sinh hoạt bằng công nghệ đốt (không phát điện, không thu hồi năng lượng)</t>
  </si>
  <si>
    <t>Đồng/ 1 tấn rác</t>
  </si>
  <si>
    <t>Điều chỉnh theo đơn giá 2023 (điều chỉnh khối lượng rác thực tế)</t>
  </si>
  <si>
    <t>PHỤ LỤC HỢP ĐỒNG THỰC HIỆN CUNG CẤP SẢN PHẨM DỊCH VỤ CÔNG ÍCH, CÔNG CỘNG TRÊN ĐỊA BÀN HUYỆN LÂM BÌNH NĂM 2023</t>
  </si>
  <si>
    <t>Giá dịch vụ xử lý chất thải rắn sinh hoạt bằng công nghệ chôn lấp hợp vệ sinh</t>
  </si>
  <si>
    <t>Kinh phí năm 2023</t>
  </si>
  <si>
    <t>Biểu 01-Lăng Can</t>
  </si>
  <si>
    <t>Dự toán chi (làm tròn)</t>
  </si>
  <si>
    <t>Số lượng</t>
  </si>
  <si>
    <t>Thành tiền</t>
  </si>
  <si>
    <t>4=2*3</t>
  </si>
  <si>
    <t>Biểu 01-Tổng hợp kinh phí</t>
  </si>
  <si>
    <t>Duy trì cây cảnh tạo hình</t>
  </si>
  <si>
    <t>Đơn giá (đồng)</t>
  </si>
  <si>
    <t>10.000m2</t>
  </si>
  <si>
    <t>100 m2/lần</t>
  </si>
  <si>
    <t>100 m2/năm</t>
  </si>
  <si>
    <t>T1</t>
  </si>
  <si>
    <t>T2</t>
  </si>
  <si>
    <t>T3</t>
  </si>
  <si>
    <t>T4</t>
  </si>
  <si>
    <t>T5</t>
  </si>
  <si>
    <t>T6</t>
  </si>
  <si>
    <t>T7</t>
  </si>
  <si>
    <t>T8</t>
  </si>
  <si>
    <t>T9</t>
  </si>
  <si>
    <t>T10</t>
  </si>
  <si>
    <t>T11</t>
  </si>
  <si>
    <t>T12</t>
  </si>
  <si>
    <t>NSNN</t>
  </si>
  <si>
    <t>Quét, om rác đường phố, hè phố, vệ sinh ngõ xóm; tưới nước rửa đường</t>
  </si>
  <si>
    <t>THỰC HIỆN CUNG CẤP SẢN PHẨM DỊCH VỤ SỰ NGHIỆP CÔNG TRÊN ĐỊA BÀN THỊ TRẤN LĂNG CAN NĂM 2024</t>
  </si>
  <si>
    <t>km</t>
  </si>
  <si>
    <t>Chăm sóc cây xanh, bồn hoa nơi công cộng</t>
  </si>
  <si>
    <t>100 cây/năm</t>
  </si>
  <si>
    <t>Quét vôi gốc cây (cây loại 1)</t>
  </si>
  <si>
    <t>cây</t>
  </si>
  <si>
    <t>trạm /ngày</t>
  </si>
  <si>
    <t>BIỂU TỔNG HỢP DỰ TOÁN KINH PHÍ THỰC HIỆN DỊCH VỤ SỰ NGHIỆP CÔNG NĂM 2024 
TRÊN ĐỊA BÀN THỊ TRẤN LĂNG CAN</t>
  </si>
  <si>
    <t>2=3+4</t>
  </si>
  <si>
    <t>Tính 50% số lượng cây Tếch, Chò chỉ</t>
  </si>
  <si>
    <t>Duy trì cây bóng mát loại 1</t>
  </si>
  <si>
    <t>cây/năm</t>
  </si>
  <si>
    <t>Duy trì trạm 2 chế độ bằng đồng hồ hẹn giờ: 10 trạm</t>
  </si>
  <si>
    <t>Từ ngày 27/02-31/12/2024</t>
  </si>
  <si>
    <t>Từ ngày 01/01-26/02/2024</t>
  </si>
  <si>
    <t>1.1</t>
  </si>
  <si>
    <t>1.2</t>
  </si>
  <si>
    <t>1.3</t>
  </si>
  <si>
    <t>1.4</t>
  </si>
  <si>
    <t>1.5</t>
  </si>
  <si>
    <t>2.1</t>
  </si>
  <si>
    <t>3.1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</si>
</sst>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_(* #,##0_);_(* \(#,##0\);_(* &quot;-&quot;??_);_(@_)"/>
    <numFmt numFmtId="165" formatCode="_(* #,##0.000_);_(* \(#,##0.000\);_(* &quot;-&quot;??_);_(@_)"/>
    <numFmt numFmtId="166" formatCode="_(* #,##0.0000_);_(* \(#,##0.0000\);_(* &quot;-&quot;??_);_(@_)"/>
  </numFmts>
  <fonts count="52" x14ac:knownFonts="1">
    <font>
      <sz val="10"/>
      <color theme="1"/>
      <name val="Calibri"/>
      <scheme val="minor"/>
    </font>
    <font>
      <sz val="10"/>
      <name val="Arial"/>
      <family val="2"/>
    </font>
    <font>
      <sz val="11"/>
      <color indexed="52"/>
      <name val="Calibri"/>
      <family val="2"/>
    </font>
    <font>
      <sz val="11"/>
      <name val=".VnTime"/>
      <family val="2"/>
    </font>
    <font>
      <sz val="10"/>
      <name val="Times New Roman"/>
      <family val="1"/>
    </font>
    <font>
      <b/>
      <sz val="13"/>
      <name val="Times New Roman"/>
      <family val="1"/>
    </font>
    <font>
      <b/>
      <sz val="10"/>
      <name val="Times New Roman"/>
      <family val="1"/>
    </font>
    <font>
      <b/>
      <sz val="10"/>
      <color indexed="65"/>
      <name val="Times New Roman"/>
      <family val="1"/>
    </font>
    <font>
      <sz val="10"/>
      <color indexed="16"/>
      <name val="Times New Roman"/>
      <family val="1"/>
    </font>
    <font>
      <b/>
      <sz val="10"/>
      <color indexed="16"/>
      <name val="Times New Roman"/>
      <family val="1"/>
    </font>
    <font>
      <b/>
      <sz val="11"/>
      <name val="Times New Roman"/>
      <family val="1"/>
    </font>
    <font>
      <sz val="12"/>
      <name val="Times New Roman"/>
      <family val="1"/>
    </font>
    <font>
      <b/>
      <sz val="12"/>
      <name val="Times New Roman"/>
      <family val="1"/>
    </font>
    <font>
      <b/>
      <sz val="14"/>
      <name val="Times New Roman"/>
      <family val="1"/>
    </font>
    <font>
      <i/>
      <sz val="14"/>
      <name val="Times New Roman"/>
      <family val="1"/>
    </font>
    <font>
      <i/>
      <sz val="12"/>
      <name val="Times New Roman"/>
      <family val="1"/>
    </font>
    <font>
      <i/>
      <sz val="11"/>
      <name val="Times New Roman"/>
      <family val="1"/>
    </font>
    <font>
      <i/>
      <sz val="10"/>
      <name val="Times New Roman"/>
      <family val="1"/>
    </font>
    <font>
      <b/>
      <i/>
      <sz val="10"/>
      <name val="Times New Roman"/>
      <family val="1"/>
    </font>
    <font>
      <sz val="12"/>
      <color indexed="16"/>
      <name val="Times New Roman"/>
      <family val="1"/>
    </font>
    <font>
      <sz val="12"/>
      <color indexed="2"/>
      <name val="Times New Roman"/>
      <family val="1"/>
    </font>
    <font>
      <sz val="11"/>
      <name val="Times New Roman"/>
      <family val="1"/>
    </font>
    <font>
      <b/>
      <sz val="12"/>
      <color indexed="16"/>
      <name val="Times New Roman"/>
      <family val="1"/>
    </font>
    <font>
      <b/>
      <sz val="12"/>
      <color indexed="4"/>
      <name val="Times New Roman"/>
      <family val="1"/>
    </font>
    <font>
      <sz val="12"/>
      <color indexed="4"/>
      <name val="Times New Roman"/>
      <family val="1"/>
    </font>
    <font>
      <sz val="12"/>
      <color indexed="65"/>
      <name val="Times New Roman"/>
      <family val="1"/>
    </font>
    <font>
      <sz val="10"/>
      <color indexed="65"/>
      <name val="Times New Roman"/>
      <family val="1"/>
    </font>
    <font>
      <b/>
      <sz val="12"/>
      <color indexed="65"/>
      <name val="Times New Roman"/>
      <family val="1"/>
    </font>
    <font>
      <sz val="8"/>
      <name val="Tahoma"/>
      <family val="2"/>
    </font>
    <font>
      <b/>
      <sz val="10"/>
      <name val="Times New Roman"/>
      <family val="1"/>
    </font>
    <font>
      <i/>
      <sz val="10"/>
      <name val="Times New Roman"/>
      <family val="1"/>
    </font>
    <font>
      <sz val="10"/>
      <name val="Times New Roman"/>
      <family val="1"/>
    </font>
    <font>
      <sz val="10"/>
      <name val=".VnTime"/>
      <family val="2"/>
    </font>
    <font>
      <sz val="12"/>
      <color rgb="FF0070C0"/>
      <name val="Times New Roman"/>
      <family val="1"/>
    </font>
    <font>
      <sz val="10"/>
      <color theme="1"/>
      <name val="Calibri"/>
      <family val="2"/>
      <scheme val="minor"/>
    </font>
    <font>
      <b/>
      <sz val="12"/>
      <name val="Times New Roman"/>
      <family val="1"/>
    </font>
    <font>
      <sz val="12"/>
      <name val="Times New Roman"/>
      <family val="1"/>
    </font>
    <font>
      <b/>
      <i/>
      <sz val="10"/>
      <name val="Times New Roman"/>
      <family val="1"/>
    </font>
    <font>
      <b/>
      <sz val="10"/>
      <color rgb="FFFF0000"/>
      <name val="Times New Roman"/>
      <family val="1"/>
    </font>
    <font>
      <sz val="10"/>
      <color theme="0"/>
      <name val="Times New Roman"/>
      <family val="1"/>
    </font>
    <font>
      <b/>
      <sz val="10"/>
      <color theme="0"/>
      <name val="Times New Roman"/>
      <family val="1"/>
    </font>
    <font>
      <b/>
      <sz val="12"/>
      <color rgb="FFFF0000"/>
      <name val="Times New Roman"/>
      <family val="1"/>
    </font>
    <font>
      <sz val="10"/>
      <color rgb="FF0070C0"/>
      <name val="Times New Roman"/>
      <family val="1"/>
    </font>
    <font>
      <b/>
      <sz val="12"/>
      <color rgb="FF0070C0"/>
      <name val="Times New Roman"/>
      <family val="1"/>
    </font>
    <font>
      <sz val="10"/>
      <color rgb="FF0070C0"/>
      <name val="Calibri"/>
      <family val="2"/>
      <scheme val="minor"/>
    </font>
    <font>
      <sz val="10"/>
      <color theme="5"/>
      <name val="Times New Roman"/>
      <family val="1"/>
    </font>
    <font>
      <sz val="12"/>
      <color theme="5"/>
      <name val="Times New Roman"/>
      <family val="1"/>
    </font>
    <font>
      <b/>
      <sz val="12"/>
      <color theme="5"/>
      <name val="Times New Roman"/>
      <family val="1"/>
    </font>
    <font>
      <b/>
      <sz val="10"/>
      <color theme="5"/>
      <name val="Times New Roman"/>
      <family val="1"/>
    </font>
    <font>
      <sz val="14"/>
      <color theme="1"/>
      <name val="Times New Roman"/>
      <family val="1"/>
    </font>
    <font>
      <sz val="10"/>
      <name val="Calibri"/>
      <family val="2"/>
      <scheme val="minor"/>
    </font>
    <font>
      <b/>
      <sz val="11"/>
      <color theme="5" tint="-0.499984740745262"/>
      <name val="Times New Roman"/>
      <family val="1"/>
    </font>
  </fonts>
  <fills count="5">
    <fill>
      <patternFill patternType="none"/>
    </fill>
    <fill>
      <patternFill patternType="gray125"/>
    </fill>
    <fill>
      <patternFill patternType="solid">
        <fgColor indexed="26"/>
        <bgColor indexed="26"/>
      </patternFill>
    </fill>
    <fill>
      <patternFill patternType="solid">
        <fgColor indexed="65"/>
      </patternFill>
    </fill>
    <fill>
      <patternFill patternType="solid">
        <fgColor theme="0" tint="-4.9989318521683403E-2"/>
        <bgColor indexed="64"/>
      </patternFill>
    </fill>
  </fills>
  <borders count="19">
    <border>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hair">
        <color indexed="64"/>
      </top>
      <bottom/>
      <diagonal/>
    </border>
  </borders>
  <cellStyleXfs count="10">
    <xf numFmtId="0" fontId="0" fillId="0" borderId="0">
      <alignment vertical="top"/>
    </xf>
    <xf numFmtId="41" fontId="1" fillId="0" borderId="0"/>
    <xf numFmtId="43" fontId="1" fillId="0" borderId="0"/>
    <xf numFmtId="44" fontId="1" fillId="0" borderId="0"/>
    <xf numFmtId="0" fontId="1" fillId="0" borderId="0">
      <alignment vertical="top"/>
    </xf>
    <xf numFmtId="0" fontId="2" fillId="0" borderId="1"/>
    <xf numFmtId="0" fontId="1" fillId="0" borderId="0">
      <alignment vertical="top"/>
    </xf>
    <xf numFmtId="0" fontId="3" fillId="0" borderId="0"/>
    <xf numFmtId="0" fontId="1" fillId="2" borderId="2"/>
    <xf numFmtId="43" fontId="34" fillId="0" borderId="0" applyFont="0" applyFill="0" applyBorder="0" applyAlignment="0" applyProtection="0"/>
  </cellStyleXfs>
  <cellXfs count="374">
    <xf numFmtId="0" fontId="0" fillId="0" borderId="0" xfId="0" applyAlignment="1"/>
    <xf numFmtId="0" fontId="11" fillId="0" borderId="0" xfId="5" applyFont="1" applyBorder="1" applyAlignment="1">
      <alignment horizontal="center" vertical="center" wrapText="1"/>
    </xf>
    <xf numFmtId="0" fontId="12" fillId="0" borderId="0" xfId="5" applyFont="1" applyBorder="1" applyAlignment="1">
      <alignment horizontal="center" vertical="center" wrapText="1"/>
    </xf>
    <xf numFmtId="0" fontId="13" fillId="0" borderId="0" xfId="0" applyFont="1" applyAlignment="1">
      <alignment vertical="center"/>
    </xf>
    <xf numFmtId="0" fontId="10" fillId="0" borderId="0" xfId="5" applyFont="1" applyBorder="1" applyAlignment="1">
      <alignment horizontal="center" vertical="center" wrapText="1"/>
    </xf>
    <xf numFmtId="0" fontId="16" fillId="0" borderId="4" xfId="5" applyFont="1" applyBorder="1" applyAlignment="1">
      <alignment horizontal="center" vertical="center" wrapText="1"/>
    </xf>
    <xf numFmtId="0" fontId="6" fillId="0" borderId="10" xfId="5" applyFont="1" applyBorder="1" applyAlignment="1">
      <alignment horizontal="center" vertical="center" wrapText="1"/>
    </xf>
    <xf numFmtId="0" fontId="6" fillId="0" borderId="10" xfId="5" applyFont="1" applyBorder="1" applyAlignment="1">
      <alignment horizontal="left" vertical="center" wrapText="1"/>
    </xf>
    <xf numFmtId="0" fontId="4" fillId="0" borderId="10" xfId="5" applyFont="1" applyBorder="1" applyAlignment="1">
      <alignment horizontal="center" vertical="center" wrapText="1"/>
    </xf>
    <xf numFmtId="3" fontId="4" fillId="0" borderId="10" xfId="7" applyNumberFormat="1" applyFont="1" applyBorder="1" applyAlignment="1">
      <alignment vertical="center"/>
    </xf>
    <xf numFmtId="3" fontId="4" fillId="0" borderId="10" xfId="7" applyNumberFormat="1" applyFont="1" applyBorder="1" applyAlignment="1">
      <alignment horizontal="center" vertical="center" wrapText="1"/>
    </xf>
    <xf numFmtId="3" fontId="4" fillId="0" borderId="10" xfId="7" applyNumberFormat="1" applyFont="1" applyBorder="1" applyAlignment="1">
      <alignment horizontal="left" vertical="center" wrapText="1"/>
    </xf>
    <xf numFmtId="0" fontId="6" fillId="0" borderId="10" xfId="0" applyFont="1" applyBorder="1" applyAlignment="1">
      <alignment horizontal="left" vertical="center" wrapText="1"/>
    </xf>
    <xf numFmtId="3" fontId="4" fillId="0" borderId="10" xfId="0" applyNumberFormat="1" applyFont="1" applyBorder="1" applyAlignment="1">
      <alignment horizontal="center" vertical="center" wrapText="1"/>
    </xf>
    <xf numFmtId="3" fontId="4" fillId="0" borderId="10" xfId="0" applyNumberFormat="1" applyFont="1" applyBorder="1" applyAlignment="1">
      <alignment horizontal="left" vertical="center" wrapText="1"/>
    </xf>
    <xf numFmtId="164" fontId="4" fillId="0" borderId="10" xfId="1" applyNumberFormat="1" applyFont="1" applyBorder="1" applyAlignment="1">
      <alignment horizontal="center" vertical="center" wrapText="1"/>
    </xf>
    <xf numFmtId="0" fontId="4" fillId="0" borderId="10" xfId="0" applyFont="1" applyBorder="1" applyAlignment="1">
      <alignment horizontal="left" vertical="center" wrapText="1"/>
    </xf>
    <xf numFmtId="43" fontId="4" fillId="0" borderId="10" xfId="1" applyNumberFormat="1" applyFont="1" applyBorder="1" applyAlignment="1">
      <alignment horizontal="center" vertical="center" wrapText="1"/>
    </xf>
    <xf numFmtId="0" fontId="6" fillId="0" borderId="10" xfId="0" applyFont="1" applyBorder="1" applyAlignment="1">
      <alignment horizontal="center" vertical="center" wrapText="1"/>
    </xf>
    <xf numFmtId="3" fontId="6" fillId="0" borderId="10" xfId="0" applyNumberFormat="1" applyFont="1" applyBorder="1" applyAlignment="1">
      <alignment horizontal="center" vertical="center" wrapText="1"/>
    </xf>
    <xf numFmtId="0" fontId="6" fillId="3" borderId="10" xfId="5" applyFont="1" applyFill="1" applyBorder="1" applyAlignment="1">
      <alignment horizontal="center" vertical="center" wrapText="1"/>
    </xf>
    <xf numFmtId="0" fontId="4" fillId="3" borderId="10" xfId="5" applyFont="1" applyFill="1" applyBorder="1" applyAlignment="1">
      <alignment horizontal="center" vertical="center" wrapText="1"/>
    </xf>
    <xf numFmtId="0" fontId="4" fillId="3" borderId="10" xfId="5" applyFont="1" applyFill="1" applyBorder="1" applyAlignment="1">
      <alignment vertical="center"/>
    </xf>
    <xf numFmtId="0" fontId="19" fillId="0" borderId="0" xfId="5" applyFont="1" applyBorder="1" applyAlignment="1">
      <alignment horizontal="center" vertical="center" wrapText="1"/>
    </xf>
    <xf numFmtId="0" fontId="20" fillId="0" borderId="0" xfId="5" applyFont="1" applyBorder="1" applyAlignment="1">
      <alignment horizontal="center" vertical="center" wrapText="1"/>
    </xf>
    <xf numFmtId="3" fontId="15" fillId="0" borderId="0" xfId="5" applyNumberFormat="1" applyFont="1" applyBorder="1" applyAlignment="1">
      <alignment horizontal="center" vertical="top" wrapText="1"/>
    </xf>
    <xf numFmtId="0" fontId="17" fillId="0" borderId="4" xfId="5" applyFont="1" applyBorder="1" applyAlignment="1">
      <alignment horizontal="center" vertical="center" wrapText="1"/>
    </xf>
    <xf numFmtId="0" fontId="22" fillId="0" borderId="0" xfId="5" applyFont="1" applyBorder="1" applyAlignment="1">
      <alignment horizontal="left" vertical="center" wrapText="1"/>
    </xf>
    <xf numFmtId="0" fontId="12" fillId="0" borderId="0" xfId="5" applyFont="1" applyBorder="1" applyAlignment="1">
      <alignment horizontal="left" vertical="center" wrapText="1"/>
    </xf>
    <xf numFmtId="0" fontId="9" fillId="0" borderId="0" xfId="5" applyFont="1" applyBorder="1" applyAlignment="1">
      <alignment horizontal="center" vertical="center" wrapText="1"/>
    </xf>
    <xf numFmtId="0" fontId="6" fillId="0" borderId="0" xfId="5" applyFont="1" applyBorder="1" applyAlignment="1">
      <alignment horizontal="center" vertical="center" wrapText="1"/>
    </xf>
    <xf numFmtId="0" fontId="9" fillId="0" borderId="0" xfId="5" applyFont="1" applyBorder="1" applyAlignment="1">
      <alignment horizontal="left" vertical="center" wrapText="1"/>
    </xf>
    <xf numFmtId="0" fontId="6" fillId="0" borderId="0" xfId="5" applyFont="1" applyBorder="1" applyAlignment="1">
      <alignment horizontal="left" vertical="center" wrapText="1"/>
    </xf>
    <xf numFmtId="164" fontId="11" fillId="0" borderId="0" xfId="1" applyNumberFormat="1" applyFont="1" applyAlignment="1">
      <alignment horizontal="center" vertical="center" wrapText="1"/>
    </xf>
    <xf numFmtId="0" fontId="23" fillId="0" borderId="0" xfId="5" applyFont="1" applyBorder="1" applyAlignment="1">
      <alignment horizontal="center" vertical="center" wrapText="1"/>
    </xf>
    <xf numFmtId="0" fontId="24" fillId="0" borderId="0" xfId="5" applyFont="1" applyBorder="1" applyAlignment="1">
      <alignment horizontal="center" vertical="center" wrapText="1"/>
    </xf>
    <xf numFmtId="0" fontId="22" fillId="0" borderId="0" xfId="5" applyFont="1" applyBorder="1" applyAlignment="1">
      <alignment horizontal="center" vertical="center" wrapText="1"/>
    </xf>
    <xf numFmtId="0" fontId="6" fillId="3" borderId="10" xfId="5" applyFont="1" applyFill="1" applyBorder="1" applyAlignment="1">
      <alignment vertical="center" wrapText="1"/>
    </xf>
    <xf numFmtId="0" fontId="4" fillId="3" borderId="10" xfId="5" applyFont="1" applyFill="1" applyBorder="1" applyAlignment="1">
      <alignment vertical="center" wrapText="1"/>
    </xf>
    <xf numFmtId="0" fontId="4" fillId="3" borderId="11" xfId="5" applyFont="1" applyFill="1" applyBorder="1" applyAlignment="1">
      <alignment vertical="center" wrapText="1"/>
    </xf>
    <xf numFmtId="164" fontId="25" fillId="0" borderId="0" xfId="1" applyNumberFormat="1" applyFont="1" applyAlignment="1">
      <alignment horizontal="center" vertical="center" wrapText="1"/>
    </xf>
    <xf numFmtId="0" fontId="4" fillId="0" borderId="0" xfId="5" applyFont="1" applyBorder="1" applyAlignment="1">
      <alignment horizontal="center" vertical="center" wrapText="1"/>
    </xf>
    <xf numFmtId="164" fontId="6" fillId="0" borderId="0" xfId="5" applyNumberFormat="1" applyFont="1" applyBorder="1" applyAlignment="1">
      <alignment horizontal="center" vertical="center" wrapText="1"/>
    </xf>
    <xf numFmtId="164" fontId="19" fillId="0" borderId="0" xfId="1" applyNumberFormat="1" applyFont="1" applyAlignment="1">
      <alignment horizontal="center" vertical="center" wrapText="1"/>
    </xf>
    <xf numFmtId="164" fontId="22" fillId="0" borderId="0" xfId="5" applyNumberFormat="1" applyFont="1" applyBorder="1" applyAlignment="1">
      <alignment horizontal="center" vertical="center" wrapText="1"/>
    </xf>
    <xf numFmtId="43" fontId="8" fillId="0" borderId="0" xfId="1" applyNumberFormat="1" applyFont="1" applyAlignment="1">
      <alignment vertical="center" wrapText="1"/>
    </xf>
    <xf numFmtId="0" fontId="8" fillId="0" borderId="0" xfId="5" applyFont="1" applyBorder="1" applyAlignment="1">
      <alignment horizontal="center" vertical="center" wrapText="1"/>
    </xf>
    <xf numFmtId="0" fontId="7" fillId="0" borderId="0" xfId="5" applyFont="1" applyBorder="1" applyAlignment="1">
      <alignment horizontal="center" vertical="center" wrapText="1"/>
    </xf>
    <xf numFmtId="164" fontId="7" fillId="0" borderId="0" xfId="5" applyNumberFormat="1" applyFont="1" applyBorder="1" applyAlignment="1">
      <alignment horizontal="center" vertical="center" wrapText="1"/>
    </xf>
    <xf numFmtId="0" fontId="27" fillId="0" borderId="0" xfId="5" applyFont="1" applyBorder="1" applyAlignment="1">
      <alignment horizontal="center" vertical="center" wrapText="1"/>
    </xf>
    <xf numFmtId="0" fontId="26" fillId="0" borderId="0" xfId="5" applyFont="1" applyBorder="1" applyAlignment="1">
      <alignment horizontal="center" vertical="center" wrapText="1"/>
    </xf>
    <xf numFmtId="0" fontId="29" fillId="0" borderId="0" xfId="5" applyFont="1" applyBorder="1" applyAlignment="1">
      <alignment horizontal="center" vertical="center" wrapText="1"/>
    </xf>
    <xf numFmtId="0" fontId="30" fillId="0" borderId="4" xfId="5" applyFont="1" applyBorder="1" applyAlignment="1">
      <alignment horizontal="center" vertical="center" wrapText="1"/>
    </xf>
    <xf numFmtId="0" fontId="29" fillId="0" borderId="10" xfId="5" applyFont="1" applyBorder="1" applyAlignment="1">
      <alignment horizontal="center" vertical="center" wrapText="1"/>
    </xf>
    <xf numFmtId="0" fontId="29" fillId="0" borderId="10" xfId="5" applyFont="1" applyBorder="1" applyAlignment="1">
      <alignment horizontal="left" vertical="center" wrapText="1"/>
    </xf>
    <xf numFmtId="0" fontId="31" fillId="0" borderId="10" xfId="5" applyFont="1" applyBorder="1" applyAlignment="1">
      <alignment horizontal="center" vertical="center" wrapText="1"/>
    </xf>
    <xf numFmtId="3" fontId="31" fillId="0" borderId="10" xfId="7" applyNumberFormat="1" applyFont="1" applyBorder="1" applyAlignment="1">
      <alignment vertical="center"/>
    </xf>
    <xf numFmtId="3" fontId="31" fillId="0" borderId="10" xfId="7" applyNumberFormat="1" applyFont="1" applyBorder="1" applyAlignment="1">
      <alignment horizontal="center" vertical="center" wrapText="1"/>
    </xf>
    <xf numFmtId="0" fontId="31" fillId="0" borderId="0" xfId="5" applyFont="1" applyBorder="1" applyAlignment="1">
      <alignment horizontal="center" vertical="center" wrapText="1"/>
    </xf>
    <xf numFmtId="3" fontId="31" fillId="0" borderId="10" xfId="7" applyNumberFormat="1" applyFont="1" applyBorder="1" applyAlignment="1">
      <alignment horizontal="left" vertical="center" wrapText="1"/>
    </xf>
    <xf numFmtId="0" fontId="29" fillId="0" borderId="10" xfId="0" applyFont="1" applyBorder="1" applyAlignment="1">
      <alignment horizontal="left" vertical="center" wrapText="1"/>
    </xf>
    <xf numFmtId="3" fontId="31" fillId="0" borderId="10" xfId="0" applyNumberFormat="1" applyFont="1" applyBorder="1" applyAlignment="1">
      <alignment horizontal="center" vertical="center" wrapText="1"/>
    </xf>
    <xf numFmtId="3" fontId="31" fillId="0" borderId="10" xfId="0" applyNumberFormat="1" applyFont="1" applyBorder="1" applyAlignment="1">
      <alignment horizontal="left" vertical="center" wrapText="1"/>
    </xf>
    <xf numFmtId="4" fontId="29" fillId="0" borderId="10" xfId="5" applyNumberFormat="1" applyFont="1" applyBorder="1" applyAlignment="1">
      <alignment horizontal="center" vertical="center" wrapText="1"/>
    </xf>
    <xf numFmtId="0" fontId="31" fillId="0" borderId="10" xfId="0" applyFont="1" applyBorder="1" applyAlignment="1">
      <alignment horizontal="left" vertical="center" wrapText="1"/>
    </xf>
    <xf numFmtId="164" fontId="29" fillId="0" borderId="0" xfId="5" applyNumberFormat="1" applyFont="1" applyBorder="1" applyAlignment="1">
      <alignment horizontal="center" vertical="center" wrapText="1"/>
    </xf>
    <xf numFmtId="43" fontId="31" fillId="0" borderId="10" xfId="1" applyNumberFormat="1" applyFont="1" applyBorder="1" applyAlignment="1">
      <alignment horizontal="center" vertical="center" wrapText="1"/>
    </xf>
    <xf numFmtId="0" fontId="29" fillId="0" borderId="10" xfId="0" applyFont="1" applyBorder="1" applyAlignment="1">
      <alignment horizontal="center" vertical="center" wrapText="1"/>
    </xf>
    <xf numFmtId="3" fontId="29" fillId="0" borderId="10" xfId="0" applyNumberFormat="1" applyFont="1" applyBorder="1" applyAlignment="1">
      <alignment horizontal="center" vertical="center" wrapText="1"/>
    </xf>
    <xf numFmtId="0" fontId="29" fillId="3" borderId="10" xfId="5" applyFont="1" applyFill="1" applyBorder="1" applyAlignment="1">
      <alignment horizontal="center" vertical="center"/>
    </xf>
    <xf numFmtId="0" fontId="29" fillId="3" borderId="10" xfId="5" applyFont="1" applyFill="1" applyBorder="1" applyAlignment="1">
      <alignment vertical="center"/>
    </xf>
    <xf numFmtId="0" fontId="29" fillId="3" borderId="10" xfId="5" applyFont="1" applyFill="1" applyBorder="1" applyAlignment="1">
      <alignment horizontal="center" vertical="center" wrapText="1"/>
    </xf>
    <xf numFmtId="0" fontId="32" fillId="3" borderId="10" xfId="5" applyFont="1" applyFill="1" applyBorder="1" applyAlignment="1">
      <alignment horizontal="center" vertical="center"/>
    </xf>
    <xf numFmtId="0" fontId="30" fillId="3" borderId="10" xfId="5" applyFont="1" applyFill="1" applyBorder="1" applyAlignment="1">
      <alignment vertical="center"/>
    </xf>
    <xf numFmtId="0" fontId="31" fillId="3" borderId="10" xfId="5" applyFont="1" applyFill="1" applyBorder="1" applyAlignment="1">
      <alignment horizontal="center" vertical="center" wrapText="1"/>
    </xf>
    <xf numFmtId="0" fontId="31" fillId="3" borderId="10" xfId="5" applyFont="1" applyFill="1" applyBorder="1" applyAlignment="1">
      <alignment vertical="center"/>
    </xf>
    <xf numFmtId="0" fontId="32" fillId="3" borderId="11" xfId="5" applyFont="1" applyFill="1" applyBorder="1" applyAlignment="1">
      <alignment horizontal="center" vertical="center"/>
    </xf>
    <xf numFmtId="0" fontId="31" fillId="3" borderId="11" xfId="5" applyFont="1" applyFill="1" applyBorder="1" applyAlignment="1">
      <alignment vertical="center"/>
    </xf>
    <xf numFmtId="0" fontId="31" fillId="3" borderId="11" xfId="5" applyFont="1" applyFill="1" applyBorder="1" applyAlignment="1">
      <alignment horizontal="center" vertical="center" wrapText="1"/>
    </xf>
    <xf numFmtId="0" fontId="33" fillId="0" borderId="0" xfId="5" applyFont="1" applyBorder="1" applyAlignment="1">
      <alignment horizontal="center" vertical="center" wrapText="1"/>
    </xf>
    <xf numFmtId="0" fontId="36" fillId="0" borderId="0" xfId="5" applyFont="1" applyBorder="1" applyAlignment="1">
      <alignment horizontal="center" vertical="center" wrapText="1"/>
    </xf>
    <xf numFmtId="0" fontId="35" fillId="0" borderId="0" xfId="5" applyFont="1" applyBorder="1" applyAlignment="1">
      <alignment horizontal="left" vertical="center" wrapText="1"/>
    </xf>
    <xf numFmtId="164" fontId="29" fillId="0" borderId="10" xfId="1" applyNumberFormat="1" applyFont="1" applyBorder="1" applyAlignment="1">
      <alignment horizontal="center" vertical="center" wrapText="1"/>
    </xf>
    <xf numFmtId="43" fontId="37" fillId="0" borderId="10" xfId="1" applyNumberFormat="1" applyFont="1" applyBorder="1" applyAlignment="1">
      <alignment horizontal="center" vertical="center" wrapText="1"/>
    </xf>
    <xf numFmtId="0" fontId="29" fillId="0" borderId="0" xfId="5" applyFont="1" applyBorder="1" applyAlignment="1">
      <alignment horizontal="left" vertical="center" wrapText="1"/>
    </xf>
    <xf numFmtId="43" fontId="29" fillId="0" borderId="10" xfId="1" applyNumberFormat="1" applyFont="1" applyBorder="1" applyAlignment="1">
      <alignment horizontal="center" vertical="center" wrapText="1"/>
    </xf>
    <xf numFmtId="43" fontId="31" fillId="0" borderId="10" xfId="3" applyNumberFormat="1" applyFont="1" applyBorder="1" applyAlignment="1">
      <alignment horizontal="center" vertical="center" wrapText="1"/>
    </xf>
    <xf numFmtId="164" fontId="36" fillId="0" borderId="0" xfId="1" applyNumberFormat="1" applyFont="1" applyAlignment="1">
      <alignment horizontal="center" vertical="center" wrapText="1"/>
    </xf>
    <xf numFmtId="165" fontId="36" fillId="0" borderId="0" xfId="1" applyNumberFormat="1" applyFont="1" applyAlignment="1">
      <alignment horizontal="center" vertical="center" wrapText="1"/>
    </xf>
    <xf numFmtId="164" fontId="35" fillId="0" borderId="0" xfId="5" applyNumberFormat="1" applyFont="1" applyBorder="1" applyAlignment="1">
      <alignment horizontal="center" vertical="center" wrapText="1"/>
    </xf>
    <xf numFmtId="0" fontId="31" fillId="0" borderId="10" xfId="5" applyFont="1" applyBorder="1" applyAlignment="1">
      <alignment horizontal="left" vertical="center" wrapText="1"/>
    </xf>
    <xf numFmtId="4" fontId="31" fillId="0" borderId="10" xfId="5" applyNumberFormat="1" applyFont="1" applyBorder="1" applyAlignment="1">
      <alignment horizontal="center" vertical="center" wrapText="1"/>
    </xf>
    <xf numFmtId="164" fontId="36" fillId="0" borderId="0" xfId="5" applyNumberFormat="1" applyFont="1" applyBorder="1" applyAlignment="1">
      <alignment horizontal="center" vertical="center" wrapText="1"/>
    </xf>
    <xf numFmtId="43" fontId="31" fillId="0" borderId="10" xfId="9" applyFont="1" applyBorder="1" applyAlignment="1">
      <alignment horizontal="center" vertical="center" wrapText="1"/>
    </xf>
    <xf numFmtId="165" fontId="31" fillId="0" borderId="10" xfId="1" applyNumberFormat="1" applyFont="1" applyBorder="1" applyAlignment="1">
      <alignment horizontal="center" vertical="center" wrapText="1"/>
    </xf>
    <xf numFmtId="165" fontId="29" fillId="0" borderId="10" xfId="1" applyNumberFormat="1" applyFont="1" applyBorder="1" applyAlignment="1">
      <alignment horizontal="center" vertical="center" wrapText="1"/>
    </xf>
    <xf numFmtId="0" fontId="29" fillId="3" borderId="10" xfId="5" applyFont="1" applyFill="1" applyBorder="1" applyAlignment="1">
      <alignment vertical="center" wrapText="1"/>
    </xf>
    <xf numFmtId="0" fontId="31" fillId="3" borderId="10" xfId="5" applyFont="1" applyFill="1" applyBorder="1" applyAlignment="1">
      <alignment vertical="center" wrapText="1"/>
    </xf>
    <xf numFmtId="0" fontId="31" fillId="3" borderId="11" xfId="5" applyFont="1" applyFill="1" applyBorder="1" applyAlignment="1">
      <alignment vertical="center" wrapText="1"/>
    </xf>
    <xf numFmtId="164" fontId="31" fillId="3" borderId="11" xfId="9" applyNumberFormat="1" applyFont="1" applyFill="1" applyBorder="1" applyAlignment="1">
      <alignment vertical="center" wrapText="1"/>
    </xf>
    <xf numFmtId="164" fontId="29" fillId="0" borderId="0" xfId="1" applyNumberFormat="1" applyFont="1" applyAlignment="1">
      <alignment horizontal="center" vertical="center" wrapText="1"/>
    </xf>
    <xf numFmtId="164" fontId="31" fillId="0" borderId="15" xfId="1" applyNumberFormat="1" applyFont="1" applyBorder="1" applyAlignment="1">
      <alignment horizontal="center" vertical="center" wrapText="1"/>
    </xf>
    <xf numFmtId="43" fontId="6" fillId="0" borderId="10" xfId="9" applyFont="1" applyBorder="1" applyAlignment="1">
      <alignment horizontal="center" vertical="center" wrapText="1"/>
    </xf>
    <xf numFmtId="0" fontId="6" fillId="4" borderId="10" xfId="5" applyFont="1" applyFill="1" applyBorder="1" applyAlignment="1">
      <alignment horizontal="center" vertical="center" wrapText="1"/>
    </xf>
    <xf numFmtId="3" fontId="6" fillId="4" borderId="10" xfId="7" applyNumberFormat="1" applyFont="1" applyFill="1" applyBorder="1" applyAlignment="1">
      <alignment horizontal="left" vertical="center" wrapText="1"/>
    </xf>
    <xf numFmtId="3" fontId="6" fillId="4" borderId="10" xfId="7" applyNumberFormat="1" applyFont="1" applyFill="1" applyBorder="1" applyAlignment="1">
      <alignment horizontal="center" vertical="center" wrapText="1"/>
    </xf>
    <xf numFmtId="0" fontId="6" fillId="4" borderId="14" xfId="5" applyFont="1" applyFill="1" applyBorder="1" applyAlignment="1">
      <alignment horizontal="center" vertical="center" wrapText="1"/>
    </xf>
    <xf numFmtId="0" fontId="6" fillId="4" borderId="14" xfId="5" applyFont="1" applyFill="1" applyBorder="1" applyAlignment="1">
      <alignment horizontal="left" vertical="center" wrapText="1"/>
    </xf>
    <xf numFmtId="0" fontId="29" fillId="4" borderId="14" xfId="5" applyFont="1" applyFill="1" applyBorder="1" applyAlignment="1">
      <alignment horizontal="left" vertical="center" wrapText="1"/>
    </xf>
    <xf numFmtId="0" fontId="29" fillId="4" borderId="10" xfId="5" applyFont="1" applyFill="1" applyBorder="1" applyAlignment="1">
      <alignment horizontal="center" vertical="center" wrapText="1"/>
    </xf>
    <xf numFmtId="0" fontId="29" fillId="4" borderId="10" xfId="5" applyFont="1" applyFill="1" applyBorder="1" applyAlignment="1">
      <alignment horizontal="left" vertical="center" wrapText="1"/>
    </xf>
    <xf numFmtId="43" fontId="29" fillId="4" borderId="10" xfId="1" applyNumberFormat="1" applyFont="1" applyFill="1" applyBorder="1" applyAlignment="1">
      <alignment horizontal="center" vertical="center" wrapText="1"/>
    </xf>
    <xf numFmtId="0" fontId="6" fillId="4" borderId="10" xfId="5" applyFont="1" applyFill="1" applyBorder="1" applyAlignment="1">
      <alignment horizontal="left" vertical="center" wrapText="1"/>
    </xf>
    <xf numFmtId="0" fontId="29" fillId="4" borderId="8" xfId="5" applyFont="1" applyFill="1" applyBorder="1" applyAlignment="1">
      <alignment horizontal="center" vertical="center" wrapText="1"/>
    </xf>
    <xf numFmtId="0" fontId="29" fillId="4" borderId="8" xfId="5" applyFont="1" applyFill="1" applyBorder="1" applyAlignment="1">
      <alignment horizontal="left" vertical="center" wrapText="1"/>
    </xf>
    <xf numFmtId="4" fontId="29" fillId="4" borderId="8" xfId="1" applyNumberFormat="1" applyFont="1" applyFill="1" applyBorder="1" applyAlignment="1">
      <alignment horizontal="right" vertical="center" wrapText="1"/>
    </xf>
    <xf numFmtId="4" fontId="29" fillId="4" borderId="14" xfId="1" applyNumberFormat="1" applyFont="1" applyFill="1" applyBorder="1" applyAlignment="1">
      <alignment horizontal="right" vertical="center" wrapText="1"/>
    </xf>
    <xf numFmtId="4" fontId="29" fillId="0" borderId="10" xfId="1" applyNumberFormat="1" applyFont="1" applyBorder="1" applyAlignment="1">
      <alignment horizontal="right" vertical="center" wrapText="1"/>
    </xf>
    <xf numFmtId="4" fontId="31" fillId="0" borderId="10" xfId="7" applyNumberFormat="1" applyFont="1" applyBorder="1" applyAlignment="1">
      <alignment horizontal="right" vertical="center" wrapText="1"/>
    </xf>
    <xf numFmtId="4" fontId="6" fillId="4" borderId="10" xfId="7" applyNumberFormat="1" applyFont="1" applyFill="1" applyBorder="1" applyAlignment="1">
      <alignment horizontal="right" vertical="center" wrapText="1"/>
    </xf>
    <xf numFmtId="4" fontId="4" fillId="0" borderId="10" xfId="7" applyNumberFormat="1" applyFont="1" applyBorder="1" applyAlignment="1">
      <alignment horizontal="right" vertical="center" wrapText="1"/>
    </xf>
    <xf numFmtId="43" fontId="29" fillId="4" borderId="14" xfId="1" applyNumberFormat="1" applyFont="1" applyFill="1" applyBorder="1" applyAlignment="1">
      <alignment horizontal="right" vertical="center" wrapText="1"/>
    </xf>
    <xf numFmtId="43" fontId="31" fillId="0" borderId="10" xfId="7" applyNumberFormat="1" applyFont="1" applyBorder="1" applyAlignment="1">
      <alignment horizontal="right" vertical="center" wrapText="1"/>
    </xf>
    <xf numFmtId="43" fontId="6" fillId="4" borderId="10" xfId="7" applyNumberFormat="1" applyFont="1" applyFill="1" applyBorder="1" applyAlignment="1">
      <alignment horizontal="right" vertical="center" wrapText="1"/>
    </xf>
    <xf numFmtId="43" fontId="4" fillId="0" borderId="10" xfId="7" applyNumberFormat="1" applyFont="1" applyBorder="1" applyAlignment="1">
      <alignment horizontal="right" vertical="center" wrapText="1"/>
    </xf>
    <xf numFmtId="43" fontId="31" fillId="0" borderId="10" xfId="9" applyFont="1" applyBorder="1" applyAlignment="1">
      <alignment horizontal="right" vertical="center" wrapText="1"/>
    </xf>
    <xf numFmtId="43" fontId="4" fillId="0" borderId="10" xfId="9" applyFont="1" applyFill="1" applyBorder="1" applyAlignment="1">
      <alignment horizontal="right" vertical="center" wrapText="1"/>
    </xf>
    <xf numFmtId="43" fontId="29" fillId="0" borderId="10" xfId="1" applyNumberFormat="1" applyFont="1" applyBorder="1" applyAlignment="1">
      <alignment horizontal="right" vertical="center" wrapText="1"/>
    </xf>
    <xf numFmtId="43" fontId="6" fillId="0" borderId="10" xfId="1" applyNumberFormat="1" applyFont="1" applyBorder="1" applyAlignment="1">
      <alignment horizontal="right" vertical="center" wrapText="1"/>
    </xf>
    <xf numFmtId="43" fontId="31" fillId="0" borderId="10" xfId="9" applyFont="1" applyFill="1" applyBorder="1" applyAlignment="1">
      <alignment horizontal="right" vertical="center" wrapText="1"/>
    </xf>
    <xf numFmtId="4" fontId="6" fillId="4" borderId="10" xfId="1" applyNumberFormat="1" applyFont="1" applyFill="1" applyBorder="1" applyAlignment="1">
      <alignment horizontal="right" vertical="center" wrapText="1"/>
    </xf>
    <xf numFmtId="4" fontId="6" fillId="0" borderId="10" xfId="5" applyNumberFormat="1" applyFont="1" applyBorder="1" applyAlignment="1">
      <alignment horizontal="right" vertical="center" wrapText="1"/>
    </xf>
    <xf numFmtId="4" fontId="4" fillId="0" borderId="10" xfId="1" applyNumberFormat="1" applyFont="1" applyBorder="1" applyAlignment="1">
      <alignment horizontal="right" vertical="center" wrapText="1"/>
    </xf>
    <xf numFmtId="4" fontId="4" fillId="0" borderId="10" xfId="8" applyNumberFormat="1" applyFont="1" applyFill="1" applyBorder="1" applyAlignment="1">
      <alignment horizontal="right" vertical="center" wrapText="1"/>
    </xf>
    <xf numFmtId="4" fontId="37" fillId="0" borderId="10" xfId="1" applyNumberFormat="1" applyFont="1" applyBorder="1" applyAlignment="1">
      <alignment horizontal="right" vertical="center" wrapText="1"/>
    </xf>
    <xf numFmtId="4" fontId="29" fillId="4" borderId="14" xfId="5" applyNumberFormat="1" applyFont="1" applyFill="1" applyBorder="1" applyAlignment="1">
      <alignment horizontal="right" vertical="center" wrapText="1"/>
    </xf>
    <xf numFmtId="4" fontId="18" fillId="0" borderId="10" xfId="1" applyNumberFormat="1" applyFont="1" applyBorder="1" applyAlignment="1">
      <alignment horizontal="right" vertical="center" wrapText="1"/>
    </xf>
    <xf numFmtId="43" fontId="31" fillId="0" borderId="10" xfId="1" applyNumberFormat="1" applyFont="1" applyBorder="1" applyAlignment="1">
      <alignment horizontal="right" vertical="center" wrapText="1"/>
    </xf>
    <xf numFmtId="43" fontId="29" fillId="0" borderId="10" xfId="9" applyFont="1" applyBorder="1" applyAlignment="1">
      <alignment horizontal="center" vertical="center" wrapText="1"/>
    </xf>
    <xf numFmtId="43" fontId="29" fillId="4" borderId="10" xfId="9" applyFont="1" applyFill="1" applyBorder="1" applyAlignment="1">
      <alignment horizontal="center" vertical="center" wrapText="1"/>
    </xf>
    <xf numFmtId="43" fontId="4" fillId="0" borderId="10" xfId="9" applyFont="1" applyBorder="1" applyAlignment="1">
      <alignment horizontal="center" vertical="center" wrapText="1"/>
    </xf>
    <xf numFmtId="43" fontId="4" fillId="0" borderId="10" xfId="9" applyFont="1" applyBorder="1" applyAlignment="1">
      <alignment horizontal="right" vertical="center" wrapText="1"/>
    </xf>
    <xf numFmtId="43" fontId="29" fillId="0" borderId="10" xfId="9" applyFont="1" applyFill="1" applyBorder="1" applyAlignment="1">
      <alignment horizontal="center" vertical="center" wrapText="1"/>
    </xf>
    <xf numFmtId="43" fontId="6" fillId="0" borderId="10" xfId="9" applyFont="1" applyFill="1" applyBorder="1" applyAlignment="1">
      <alignment horizontal="center" vertical="center" wrapText="1"/>
    </xf>
    <xf numFmtId="43" fontId="4" fillId="0" borderId="10" xfId="9" applyFont="1" applyFill="1" applyBorder="1" applyAlignment="1">
      <alignment horizontal="center" vertical="center" wrapText="1"/>
    </xf>
    <xf numFmtId="164" fontId="26" fillId="0" borderId="0" xfId="1" applyNumberFormat="1" applyFont="1" applyAlignment="1">
      <alignment horizontal="center" vertical="center" wrapText="1"/>
    </xf>
    <xf numFmtId="43" fontId="31" fillId="0" borderId="10" xfId="9" applyFont="1" applyFill="1" applyBorder="1" applyAlignment="1">
      <alignment horizontal="center" vertical="center" wrapText="1"/>
    </xf>
    <xf numFmtId="0" fontId="4" fillId="3" borderId="10" xfId="5" applyFont="1" applyFill="1" applyBorder="1" applyAlignment="1">
      <alignment horizontal="center" vertical="center"/>
    </xf>
    <xf numFmtId="43" fontId="29" fillId="4" borderId="10" xfId="5" applyNumberFormat="1" applyFont="1" applyFill="1" applyBorder="1" applyAlignment="1">
      <alignment horizontal="center" vertical="center" wrapText="1"/>
    </xf>
    <xf numFmtId="43" fontId="29" fillId="3" borderId="10" xfId="9" applyFont="1" applyFill="1" applyBorder="1" applyAlignment="1">
      <alignment horizontal="center" vertical="center" wrapText="1"/>
    </xf>
    <xf numFmtId="43" fontId="31" fillId="3" borderId="10" xfId="9" applyFont="1" applyFill="1" applyBorder="1" applyAlignment="1">
      <alignment vertical="center" wrapText="1"/>
    </xf>
    <xf numFmtId="43" fontId="31" fillId="3" borderId="10" xfId="9" applyFont="1" applyFill="1" applyBorder="1" applyAlignment="1">
      <alignment horizontal="center" vertical="center" wrapText="1"/>
    </xf>
    <xf numFmtId="0" fontId="6" fillId="4" borderId="8" xfId="5" applyFont="1" applyFill="1" applyBorder="1" applyAlignment="1">
      <alignment horizontal="left" vertical="center" wrapText="1"/>
    </xf>
    <xf numFmtId="4" fontId="6" fillId="4" borderId="14" xfId="5" applyNumberFormat="1" applyFont="1" applyFill="1" applyBorder="1" applyAlignment="1">
      <alignment horizontal="right" vertical="center" wrapText="1"/>
    </xf>
    <xf numFmtId="43" fontId="6" fillId="4" borderId="10" xfId="9" applyFont="1" applyFill="1" applyBorder="1" applyAlignment="1">
      <alignment horizontal="left" vertical="center" wrapText="1"/>
    </xf>
    <xf numFmtId="43" fontId="39" fillId="4" borderId="8" xfId="5" applyNumberFormat="1" applyFont="1" applyFill="1" applyBorder="1" applyAlignment="1">
      <alignment vertical="center" wrapText="1"/>
    </xf>
    <xf numFmtId="0" fontId="39" fillId="4" borderId="14" xfId="5" applyFont="1" applyFill="1" applyBorder="1" applyAlignment="1">
      <alignment vertical="center" wrapText="1"/>
    </xf>
    <xf numFmtId="0" fontId="39" fillId="0" borderId="10" xfId="5" applyFont="1" applyBorder="1" applyAlignment="1">
      <alignment vertical="center" wrapText="1"/>
    </xf>
    <xf numFmtId="0" fontId="40" fillId="4" borderId="10" xfId="5" applyFont="1" applyFill="1" applyBorder="1" applyAlignment="1">
      <alignment vertical="center" wrapText="1"/>
    </xf>
    <xf numFmtId="0" fontId="39" fillId="0" borderId="10" xfId="5" applyFont="1" applyBorder="1" applyAlignment="1">
      <alignment horizontal="center" vertical="center" wrapText="1"/>
    </xf>
    <xf numFmtId="43" fontId="40" fillId="4" borderId="10" xfId="5" applyNumberFormat="1" applyFont="1" applyFill="1" applyBorder="1" applyAlignment="1">
      <alignment horizontal="center" vertical="center" wrapText="1"/>
    </xf>
    <xf numFmtId="0" fontId="40" fillId="4" borderId="10" xfId="5" applyFont="1" applyFill="1" applyBorder="1" applyAlignment="1">
      <alignment horizontal="center" vertical="center" wrapText="1"/>
    </xf>
    <xf numFmtId="164" fontId="40" fillId="0" borderId="10" xfId="5" applyNumberFormat="1" applyFont="1" applyBorder="1" applyAlignment="1">
      <alignment horizontal="center" vertical="center" wrapText="1"/>
    </xf>
    <xf numFmtId="164" fontId="39" fillId="0" borderId="10" xfId="1" applyNumberFormat="1" applyFont="1" applyBorder="1" applyAlignment="1">
      <alignment horizontal="center" vertical="center" wrapText="1"/>
    </xf>
    <xf numFmtId="164" fontId="39" fillId="0" borderId="10" xfId="1" applyNumberFormat="1" applyFont="1" applyBorder="1" applyAlignment="1">
      <alignment vertical="center" wrapText="1"/>
    </xf>
    <xf numFmtId="164" fontId="40" fillId="0" borderId="10" xfId="1" applyNumberFormat="1" applyFont="1" applyBorder="1" applyAlignment="1">
      <alignment horizontal="center" vertical="center" wrapText="1"/>
    </xf>
    <xf numFmtId="166" fontId="40" fillId="0" borderId="10" xfId="1" applyNumberFormat="1" applyFont="1" applyBorder="1" applyAlignment="1">
      <alignment horizontal="center" vertical="center" wrapText="1"/>
    </xf>
    <xf numFmtId="164" fontId="40" fillId="3" borderId="10" xfId="5" applyNumberFormat="1" applyFont="1" applyFill="1" applyBorder="1" applyAlignment="1">
      <alignment horizontal="center" vertical="center" wrapText="1"/>
    </xf>
    <xf numFmtId="164" fontId="39" fillId="3" borderId="10" xfId="5" applyNumberFormat="1" applyFont="1" applyFill="1" applyBorder="1" applyAlignment="1">
      <alignment horizontal="center" vertical="center" wrapText="1"/>
    </xf>
    <xf numFmtId="164" fontId="40" fillId="3" borderId="10" xfId="1" applyNumberFormat="1" applyFont="1" applyFill="1" applyBorder="1" applyAlignment="1">
      <alignment horizontal="center" vertical="center" wrapText="1"/>
    </xf>
    <xf numFmtId="164" fontId="39" fillId="3" borderId="10" xfId="1" applyNumberFormat="1" applyFont="1" applyFill="1" applyBorder="1" applyAlignment="1">
      <alignment horizontal="center" vertical="center" wrapText="1"/>
    </xf>
    <xf numFmtId="164" fontId="39" fillId="3" borderId="11" xfId="1" applyNumberFormat="1" applyFont="1" applyFill="1" applyBorder="1" applyAlignment="1">
      <alignment horizontal="center" vertical="center" wrapText="1"/>
    </xf>
    <xf numFmtId="0" fontId="12" fillId="0" borderId="0" xfId="4" applyFont="1" applyAlignment="1">
      <alignment horizontal="center" vertical="center" wrapText="1"/>
    </xf>
    <xf numFmtId="0" fontId="5" fillId="0" borderId="0" xfId="4" applyFont="1" applyAlignment="1">
      <alignment horizontal="center" vertical="center" wrapText="1"/>
    </xf>
    <xf numFmtId="0" fontId="11" fillId="0" borderId="6" xfId="5" applyFont="1" applyBorder="1" applyAlignment="1">
      <alignment horizontal="center" vertical="center" wrapText="1"/>
    </xf>
    <xf numFmtId="0" fontId="20" fillId="0" borderId="6" xfId="5" applyFont="1" applyBorder="1" applyAlignment="1">
      <alignment horizontal="center" vertical="center" wrapText="1"/>
    </xf>
    <xf numFmtId="0" fontId="4" fillId="0" borderId="10" xfId="5" applyFont="1" applyBorder="1" applyAlignment="1">
      <alignment horizontal="left" vertical="center" wrapText="1"/>
    </xf>
    <xf numFmtId="43" fontId="35" fillId="0" borderId="0" xfId="5" applyNumberFormat="1" applyFont="1" applyBorder="1" applyAlignment="1">
      <alignment horizontal="center" vertical="center" wrapText="1"/>
    </xf>
    <xf numFmtId="0" fontId="6" fillId="0" borderId="4" xfId="5" applyFont="1" applyBorder="1" applyAlignment="1">
      <alignment horizontal="center" vertical="center" wrapText="1"/>
    </xf>
    <xf numFmtId="165" fontId="12" fillId="0" borderId="0" xfId="5" applyNumberFormat="1" applyFont="1" applyBorder="1" applyAlignment="1">
      <alignment horizontal="center" vertical="center" wrapText="1"/>
    </xf>
    <xf numFmtId="0" fontId="5" fillId="0" borderId="0" xfId="5" applyFont="1" applyBorder="1" applyAlignment="1">
      <alignment horizontal="center" vertical="center" wrapText="1"/>
    </xf>
    <xf numFmtId="164" fontId="12" fillId="0" borderId="0" xfId="5" applyNumberFormat="1" applyFont="1" applyBorder="1" applyAlignment="1">
      <alignment horizontal="center" vertical="center" wrapText="1"/>
    </xf>
    <xf numFmtId="0" fontId="15" fillId="0" borderId="0" xfId="5" applyFont="1" applyBorder="1" applyAlignment="1">
      <alignment horizontal="center" vertical="center" wrapText="1"/>
    </xf>
    <xf numFmtId="3" fontId="21" fillId="0" borderId="0" xfId="5" applyNumberFormat="1" applyFont="1" applyBorder="1" applyAlignment="1">
      <alignment horizontal="center" vertical="top" wrapText="1"/>
    </xf>
    <xf numFmtId="0" fontId="35" fillId="0" borderId="0" xfId="5" applyFont="1" applyBorder="1" applyAlignment="1">
      <alignment horizontal="center" vertical="center" wrapText="1"/>
    </xf>
    <xf numFmtId="3" fontId="21" fillId="0" borderId="3" xfId="5" applyNumberFormat="1" applyFont="1" applyBorder="1" applyAlignment="1">
      <alignment horizontal="center" vertical="top" wrapText="1"/>
    </xf>
    <xf numFmtId="0" fontId="30" fillId="0" borderId="0" xfId="5" applyFont="1" applyBorder="1" applyAlignment="1">
      <alignment horizontal="center" vertical="center" wrapText="1"/>
    </xf>
    <xf numFmtId="43" fontId="39" fillId="4" borderId="0" xfId="5" applyNumberFormat="1" applyFont="1" applyFill="1" applyBorder="1" applyAlignment="1">
      <alignment vertical="center" wrapText="1"/>
    </xf>
    <xf numFmtId="0" fontId="39" fillId="4" borderId="0" xfId="5" applyFont="1" applyFill="1" applyBorder="1" applyAlignment="1">
      <alignment vertical="center" wrapText="1"/>
    </xf>
    <xf numFmtId="0" fontId="39" fillId="0" borderId="0" xfId="5" applyFont="1" applyBorder="1" applyAlignment="1">
      <alignment vertical="center" wrapText="1"/>
    </xf>
    <xf numFmtId="0" fontId="40" fillId="4" borderId="0" xfId="5" applyFont="1" applyFill="1" applyBorder="1" applyAlignment="1">
      <alignment vertical="center" wrapText="1"/>
    </xf>
    <xf numFmtId="0" fontId="39" fillId="0" borderId="0" xfId="5" applyFont="1" applyBorder="1" applyAlignment="1">
      <alignment horizontal="center" vertical="center" wrapText="1"/>
    </xf>
    <xf numFmtId="164" fontId="40" fillId="0" borderId="0" xfId="5" applyNumberFormat="1" applyFont="1" applyBorder="1" applyAlignment="1">
      <alignment horizontal="center" vertical="center" wrapText="1"/>
    </xf>
    <xf numFmtId="164" fontId="39" fillId="0" borderId="0" xfId="1" applyNumberFormat="1" applyFont="1" applyAlignment="1">
      <alignment vertical="center" wrapText="1"/>
    </xf>
    <xf numFmtId="164" fontId="40" fillId="0" borderId="0" xfId="1" applyNumberFormat="1" applyFont="1" applyAlignment="1">
      <alignment horizontal="center" vertical="center" wrapText="1"/>
    </xf>
    <xf numFmtId="164" fontId="39" fillId="0" borderId="0" xfId="1" applyNumberFormat="1" applyFont="1" applyAlignment="1">
      <alignment horizontal="center" vertical="center" wrapText="1"/>
    </xf>
    <xf numFmtId="0" fontId="40" fillId="4" borderId="0" xfId="5" applyFont="1" applyFill="1" applyBorder="1" applyAlignment="1">
      <alignment horizontal="center" vertical="center" wrapText="1"/>
    </xf>
    <xf numFmtId="164" fontId="39" fillId="0" borderId="15" xfId="1" applyNumberFormat="1" applyFont="1" applyBorder="1" applyAlignment="1">
      <alignment horizontal="center" vertical="center" wrapText="1"/>
    </xf>
    <xf numFmtId="166" fontId="40" fillId="0" borderId="0" xfId="1" applyNumberFormat="1" applyFont="1" applyAlignment="1">
      <alignment horizontal="center" vertical="center" wrapText="1"/>
    </xf>
    <xf numFmtId="164" fontId="40" fillId="3" borderId="0" xfId="5" applyNumberFormat="1" applyFont="1" applyFill="1" applyBorder="1" applyAlignment="1">
      <alignment horizontal="center" vertical="center" wrapText="1"/>
    </xf>
    <xf numFmtId="164" fontId="39" fillId="3" borderId="0" xfId="5" applyNumberFormat="1" applyFont="1" applyFill="1" applyBorder="1" applyAlignment="1">
      <alignment horizontal="center" vertical="center" wrapText="1"/>
    </xf>
    <xf numFmtId="164" fontId="40" fillId="3" borderId="0" xfId="1" applyNumberFormat="1" applyFont="1" applyFill="1" applyAlignment="1">
      <alignment horizontal="center" vertical="center" wrapText="1"/>
    </xf>
    <xf numFmtId="164" fontId="39" fillId="3" borderId="0" xfId="1" applyNumberFormat="1" applyFont="1" applyFill="1" applyAlignment="1">
      <alignment horizontal="center" vertical="center" wrapText="1"/>
    </xf>
    <xf numFmtId="43" fontId="38" fillId="4" borderId="0" xfId="5" applyNumberFormat="1" applyFont="1" applyFill="1" applyBorder="1" applyAlignment="1">
      <alignment horizontal="center" vertical="center" wrapText="1"/>
    </xf>
    <xf numFmtId="0" fontId="38" fillId="4" borderId="10" xfId="5" applyFont="1" applyFill="1" applyBorder="1" applyAlignment="1">
      <alignment horizontal="center" vertical="center" wrapText="1"/>
    </xf>
    <xf numFmtId="0" fontId="38" fillId="4" borderId="10" xfId="5" applyFont="1" applyFill="1" applyBorder="1" applyAlignment="1">
      <alignment horizontal="left" vertical="center" wrapText="1"/>
    </xf>
    <xf numFmtId="43" fontId="38" fillId="4" borderId="10" xfId="1" applyNumberFormat="1" applyFont="1" applyFill="1" applyBorder="1" applyAlignment="1">
      <alignment horizontal="center" vertical="center" wrapText="1"/>
    </xf>
    <xf numFmtId="43" fontId="38" fillId="4" borderId="10" xfId="9" applyFont="1" applyFill="1" applyBorder="1" applyAlignment="1">
      <alignment horizontal="center" vertical="center" wrapText="1"/>
    </xf>
    <xf numFmtId="43" fontId="38" fillId="4" borderId="10" xfId="5" applyNumberFormat="1" applyFont="1" applyFill="1" applyBorder="1" applyAlignment="1">
      <alignment horizontal="center" vertical="center" wrapText="1"/>
    </xf>
    <xf numFmtId="4" fontId="41" fillId="0" borderId="0" xfId="5" applyNumberFormat="1" applyFont="1" applyBorder="1" applyAlignment="1">
      <alignment horizontal="left" vertical="center" wrapText="1"/>
    </xf>
    <xf numFmtId="0" fontId="41" fillId="0" borderId="0" xfId="5" applyFont="1" applyBorder="1" applyAlignment="1">
      <alignment horizontal="left" vertical="center" wrapText="1"/>
    </xf>
    <xf numFmtId="164" fontId="31" fillId="0" borderId="0" xfId="1" applyNumberFormat="1" applyFont="1" applyAlignment="1">
      <alignment horizontal="center" vertical="center" wrapText="1"/>
    </xf>
    <xf numFmtId="3" fontId="42" fillId="0" borderId="10" xfId="0" applyNumberFormat="1" applyFont="1" applyBorder="1" applyAlignment="1">
      <alignment horizontal="center" vertical="center" wrapText="1"/>
    </xf>
    <xf numFmtId="3" fontId="42" fillId="0" borderId="10" xfId="0" applyNumberFormat="1" applyFont="1" applyBorder="1" applyAlignment="1">
      <alignment horizontal="left" vertical="center" wrapText="1"/>
    </xf>
    <xf numFmtId="43" fontId="42" fillId="0" borderId="10" xfId="9" applyFont="1" applyBorder="1" applyAlignment="1">
      <alignment horizontal="center" vertical="center" wrapText="1"/>
    </xf>
    <xf numFmtId="43" fontId="42" fillId="0" borderId="10" xfId="1" applyNumberFormat="1" applyFont="1" applyBorder="1" applyAlignment="1">
      <alignment horizontal="center" vertical="center" wrapText="1"/>
    </xf>
    <xf numFmtId="43" fontId="42" fillId="0" borderId="10" xfId="1" applyNumberFormat="1" applyFont="1" applyBorder="1" applyAlignment="1">
      <alignment horizontal="right" vertical="center" wrapText="1"/>
    </xf>
    <xf numFmtId="164" fontId="42" fillId="0" borderId="10" xfId="1" applyNumberFormat="1" applyFont="1" applyBorder="1" applyAlignment="1">
      <alignment horizontal="center" vertical="center" wrapText="1"/>
    </xf>
    <xf numFmtId="164" fontId="42" fillId="0" borderId="0" xfId="1" applyNumberFormat="1" applyFont="1" applyAlignment="1">
      <alignment horizontal="center" vertical="center" wrapText="1"/>
    </xf>
    <xf numFmtId="43" fontId="42" fillId="0" borderId="0" xfId="1" applyNumberFormat="1" applyFont="1" applyAlignment="1">
      <alignment vertical="center" wrapText="1"/>
    </xf>
    <xf numFmtId="164" fontId="33" fillId="0" borderId="0" xfId="1" applyNumberFormat="1" applyFont="1" applyAlignment="1">
      <alignment horizontal="center" vertical="center" wrapText="1"/>
    </xf>
    <xf numFmtId="166" fontId="42" fillId="0" borderId="10" xfId="1" applyNumberFormat="1" applyFont="1" applyBorder="1" applyAlignment="1">
      <alignment horizontal="center" vertical="center" wrapText="1"/>
    </xf>
    <xf numFmtId="166" fontId="42" fillId="0" borderId="0" xfId="1" applyNumberFormat="1" applyFont="1" applyAlignment="1">
      <alignment horizontal="center" vertical="center" wrapText="1"/>
    </xf>
    <xf numFmtId="164" fontId="42" fillId="0" borderId="15" xfId="1" applyNumberFormat="1" applyFont="1" applyBorder="1" applyAlignment="1">
      <alignment horizontal="center" vertical="center" wrapText="1"/>
    </xf>
    <xf numFmtId="164" fontId="4" fillId="0" borderId="0" xfId="1" applyNumberFormat="1" applyFont="1" applyAlignment="1">
      <alignment horizontal="center" vertical="center" wrapText="1"/>
    </xf>
    <xf numFmtId="43" fontId="42" fillId="0" borderId="10" xfId="9" applyFont="1" applyBorder="1" applyAlignment="1">
      <alignment horizontal="right" vertical="center" wrapText="1"/>
    </xf>
    <xf numFmtId="0" fontId="43" fillId="0" borderId="0" xfId="5" applyFont="1" applyBorder="1" applyAlignment="1">
      <alignment horizontal="center" vertical="center" wrapText="1"/>
    </xf>
    <xf numFmtId="164" fontId="43" fillId="0" borderId="0" xfId="5" applyNumberFormat="1" applyFont="1" applyBorder="1" applyAlignment="1">
      <alignment horizontal="center" vertical="center" wrapText="1"/>
    </xf>
    <xf numFmtId="43" fontId="42" fillId="0" borderId="10" xfId="9" applyFont="1" applyFill="1" applyBorder="1" applyAlignment="1">
      <alignment horizontal="right" vertical="center" wrapText="1"/>
    </xf>
    <xf numFmtId="43" fontId="42" fillId="0" borderId="10" xfId="9" applyFont="1" applyFill="1" applyBorder="1" applyAlignment="1">
      <alignment horizontal="center" vertical="center" wrapText="1"/>
    </xf>
    <xf numFmtId="0" fontId="44" fillId="0" borderId="0" xfId="0" applyFont="1" applyAlignment="1"/>
    <xf numFmtId="3" fontId="45" fillId="0" borderId="10" xfId="0" applyNumberFormat="1" applyFont="1" applyBorder="1" applyAlignment="1">
      <alignment horizontal="center" vertical="center" wrapText="1"/>
    </xf>
    <xf numFmtId="3" fontId="45" fillId="0" borderId="10" xfId="0" applyNumberFormat="1" applyFont="1" applyBorder="1" applyAlignment="1">
      <alignment horizontal="left" vertical="center" wrapText="1"/>
    </xf>
    <xf numFmtId="43" fontId="45" fillId="0" borderId="10" xfId="9" applyFont="1" applyFill="1" applyBorder="1" applyAlignment="1">
      <alignment horizontal="center" vertical="center" wrapText="1"/>
    </xf>
    <xf numFmtId="43" fontId="45" fillId="0" borderId="10" xfId="3" applyNumberFormat="1" applyFont="1" applyBorder="1" applyAlignment="1">
      <alignment horizontal="center" vertical="center" wrapText="1"/>
    </xf>
    <xf numFmtId="43" fontId="45" fillId="0" borderId="10" xfId="9" applyFont="1" applyBorder="1" applyAlignment="1">
      <alignment horizontal="center" vertical="center" wrapText="1"/>
    </xf>
    <xf numFmtId="164" fontId="45" fillId="0" borderId="10" xfId="1" applyNumberFormat="1" applyFont="1" applyBorder="1" applyAlignment="1">
      <alignment horizontal="center" vertical="center" wrapText="1"/>
    </xf>
    <xf numFmtId="0" fontId="46" fillId="0" borderId="0" xfId="5" applyFont="1" applyBorder="1" applyAlignment="1">
      <alignment horizontal="center" vertical="center" wrapText="1"/>
    </xf>
    <xf numFmtId="43" fontId="45" fillId="0" borderId="10" xfId="1" applyNumberFormat="1" applyFont="1" applyBorder="1" applyAlignment="1">
      <alignment horizontal="center" vertical="center" wrapText="1"/>
    </xf>
    <xf numFmtId="164" fontId="45" fillId="0" borderId="0" xfId="1" applyNumberFormat="1" applyFont="1" applyAlignment="1">
      <alignment horizontal="center" vertical="center" wrapText="1"/>
    </xf>
    <xf numFmtId="0" fontId="47" fillId="0" borderId="0" xfId="5" applyFont="1" applyBorder="1" applyAlignment="1">
      <alignment horizontal="center" vertical="center" wrapText="1"/>
    </xf>
    <xf numFmtId="164" fontId="47" fillId="0" borderId="0" xfId="5" applyNumberFormat="1" applyFont="1" applyBorder="1" applyAlignment="1">
      <alignment horizontal="center" vertical="center" wrapText="1"/>
    </xf>
    <xf numFmtId="164" fontId="48" fillId="0" borderId="0" xfId="5" applyNumberFormat="1" applyFont="1" applyBorder="1" applyAlignment="1">
      <alignment horizontal="center" vertical="center" wrapText="1"/>
    </xf>
    <xf numFmtId="164" fontId="45" fillId="0" borderId="10" xfId="1" applyNumberFormat="1" applyFont="1" applyBorder="1" applyAlignment="1">
      <alignment vertical="center" wrapText="1"/>
    </xf>
    <xf numFmtId="164" fontId="45" fillId="0" borderId="0" xfId="1" applyNumberFormat="1" applyFont="1" applyAlignment="1">
      <alignment vertical="center" wrapText="1"/>
    </xf>
    <xf numFmtId="165" fontId="46" fillId="0" borderId="0" xfId="1" applyNumberFormat="1" applyFont="1" applyAlignment="1">
      <alignment horizontal="center" vertical="center" wrapText="1"/>
    </xf>
    <xf numFmtId="164" fontId="46" fillId="0" borderId="0" xfId="1" applyNumberFormat="1" applyFont="1" applyAlignment="1">
      <alignment horizontal="center" vertical="center" wrapText="1"/>
    </xf>
    <xf numFmtId="0" fontId="10" fillId="0" borderId="10" xfId="5" applyFont="1" applyBorder="1" applyAlignment="1">
      <alignment horizontal="center" vertical="center" wrapText="1"/>
    </xf>
    <xf numFmtId="0" fontId="10" fillId="0" borderId="10" xfId="5" applyFont="1" applyBorder="1" applyAlignment="1">
      <alignment horizontal="left" vertical="center" wrapText="1"/>
    </xf>
    <xf numFmtId="0" fontId="21" fillId="0" borderId="10" xfId="5" applyFont="1" applyBorder="1" applyAlignment="1">
      <alignment horizontal="center" vertical="center" wrapText="1"/>
    </xf>
    <xf numFmtId="0" fontId="10" fillId="4" borderId="10" xfId="5" applyFont="1" applyFill="1" applyBorder="1" applyAlignment="1">
      <alignment horizontal="center" vertical="center" wrapText="1"/>
    </xf>
    <xf numFmtId="0" fontId="10" fillId="4" borderId="10" xfId="5" applyFont="1" applyFill="1" applyBorder="1" applyAlignment="1">
      <alignment horizontal="left" vertical="center" wrapText="1"/>
    </xf>
    <xf numFmtId="43" fontId="10" fillId="4" borderId="10" xfId="1" applyNumberFormat="1" applyFont="1" applyFill="1" applyBorder="1" applyAlignment="1">
      <alignment horizontal="center" vertical="center" wrapText="1"/>
    </xf>
    <xf numFmtId="0" fontId="10" fillId="0" borderId="10" xfId="0" applyFont="1" applyBorder="1" applyAlignment="1">
      <alignment horizontal="left" vertical="center" wrapText="1"/>
    </xf>
    <xf numFmtId="43" fontId="10" fillId="0" borderId="10" xfId="1"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10" xfId="0" applyNumberFormat="1" applyFont="1" applyBorder="1" applyAlignment="1">
      <alignment horizontal="left" vertical="center" wrapText="1"/>
    </xf>
    <xf numFmtId="164" fontId="21" fillId="0" borderId="10" xfId="1" applyNumberFormat="1" applyFont="1" applyBorder="1" applyAlignment="1">
      <alignment horizontal="center" vertical="center" wrapText="1"/>
    </xf>
    <xf numFmtId="43" fontId="21" fillId="0" borderId="10" xfId="3" applyNumberFormat="1" applyFont="1" applyBorder="1" applyAlignment="1">
      <alignment horizontal="center" vertical="center" wrapText="1"/>
    </xf>
    <xf numFmtId="4" fontId="10" fillId="0" borderId="10" xfId="5" applyNumberFormat="1" applyFont="1" applyBorder="1" applyAlignment="1">
      <alignment horizontal="center" vertical="center" wrapText="1"/>
    </xf>
    <xf numFmtId="43" fontId="10" fillId="0" borderId="10" xfId="9" applyFont="1" applyBorder="1" applyAlignment="1">
      <alignment horizontal="center" vertical="center" wrapText="1"/>
    </xf>
    <xf numFmtId="164" fontId="10" fillId="0" borderId="10" xfId="1" applyNumberFormat="1" applyFont="1" applyBorder="1" applyAlignment="1">
      <alignment horizontal="center" vertical="center" wrapText="1"/>
    </xf>
    <xf numFmtId="0" fontId="21" fillId="0" borderId="10" xfId="5" applyFont="1" applyBorder="1" applyAlignment="1">
      <alignment horizontal="left" vertical="center" wrapText="1"/>
    </xf>
    <xf numFmtId="4" fontId="21" fillId="0" borderId="10" xfId="5" applyNumberFormat="1" applyFont="1" applyBorder="1" applyAlignment="1">
      <alignment horizontal="center" vertical="center" wrapText="1"/>
    </xf>
    <xf numFmtId="0" fontId="10" fillId="0" borderId="10" xfId="0" applyFont="1" applyBorder="1" applyAlignment="1">
      <alignment horizontal="center" vertical="center" wrapText="1"/>
    </xf>
    <xf numFmtId="3" fontId="10" fillId="0" borderId="10" xfId="0" applyNumberFormat="1" applyFont="1" applyBorder="1" applyAlignment="1">
      <alignment horizontal="center" vertical="center" wrapText="1"/>
    </xf>
    <xf numFmtId="0" fontId="21" fillId="0" borderId="10" xfId="0" applyFont="1" applyBorder="1" applyAlignment="1">
      <alignment horizontal="left" vertical="center" wrapText="1"/>
    </xf>
    <xf numFmtId="0" fontId="10" fillId="3" borderId="10" xfId="5" applyFont="1" applyFill="1" applyBorder="1" applyAlignment="1">
      <alignment horizontal="center" vertical="center"/>
    </xf>
    <xf numFmtId="0" fontId="10" fillId="3" borderId="10" xfId="5" applyFont="1" applyFill="1" applyBorder="1" applyAlignment="1">
      <alignment vertical="center"/>
    </xf>
    <xf numFmtId="0" fontId="10" fillId="3" borderId="10" xfId="5" applyFont="1" applyFill="1" applyBorder="1" applyAlignment="1">
      <alignment horizontal="center" vertical="center" wrapText="1"/>
    </xf>
    <xf numFmtId="0" fontId="10" fillId="3" borderId="10" xfId="5" applyFont="1" applyFill="1" applyBorder="1" applyAlignment="1">
      <alignment vertical="center" wrapText="1"/>
    </xf>
    <xf numFmtId="0" fontId="16" fillId="3" borderId="10" xfId="5" applyFont="1" applyFill="1" applyBorder="1" applyAlignment="1">
      <alignment vertical="center"/>
    </xf>
    <xf numFmtId="0" fontId="21" fillId="3" borderId="10" xfId="5" applyFont="1" applyFill="1" applyBorder="1" applyAlignment="1">
      <alignment horizontal="center" vertical="center" wrapText="1"/>
    </xf>
    <xf numFmtId="0" fontId="21" fillId="3" borderId="10" xfId="5" applyFont="1" applyFill="1" applyBorder="1" applyAlignment="1">
      <alignment vertical="center" wrapText="1"/>
    </xf>
    <xf numFmtId="43" fontId="21" fillId="3" borderId="10" xfId="9" applyFont="1" applyFill="1" applyBorder="1" applyAlignment="1">
      <alignment vertical="center" wrapText="1"/>
    </xf>
    <xf numFmtId="0" fontId="21" fillId="3" borderId="10" xfId="5" applyFont="1" applyFill="1" applyBorder="1" applyAlignment="1">
      <alignment vertical="center"/>
    </xf>
    <xf numFmtId="0" fontId="21" fillId="3" borderId="11" xfId="5" applyFont="1" applyFill="1" applyBorder="1" applyAlignment="1">
      <alignment vertical="center"/>
    </xf>
    <xf numFmtId="0" fontId="21" fillId="3" borderId="11" xfId="5" applyFont="1" applyFill="1" applyBorder="1" applyAlignment="1">
      <alignment horizontal="center" vertical="center" wrapText="1"/>
    </xf>
    <xf numFmtId="0" fontId="21" fillId="3" borderId="11" xfId="5" applyFont="1" applyFill="1" applyBorder="1" applyAlignment="1">
      <alignment vertical="center" wrapText="1"/>
    </xf>
    <xf numFmtId="164" fontId="21" fillId="3" borderId="11" xfId="9" applyNumberFormat="1" applyFont="1" applyFill="1" applyBorder="1" applyAlignment="1">
      <alignment vertical="center" wrapText="1"/>
    </xf>
    <xf numFmtId="164" fontId="11" fillId="0" borderId="0" xfId="5" applyNumberFormat="1" applyFont="1" applyBorder="1" applyAlignment="1">
      <alignment horizontal="center" vertical="center" wrapText="1"/>
    </xf>
    <xf numFmtId="0" fontId="10" fillId="0" borderId="9" xfId="5" applyFont="1" applyBorder="1" applyAlignment="1">
      <alignment horizontal="center" vertical="center" wrapText="1"/>
    </xf>
    <xf numFmtId="165" fontId="12" fillId="0" borderId="0" xfId="5" applyNumberFormat="1" applyFont="1" applyBorder="1" applyAlignment="1">
      <alignment horizontal="center" vertical="center" wrapText="1"/>
    </xf>
    <xf numFmtId="164" fontId="12" fillId="0" borderId="0" xfId="5" applyNumberFormat="1" applyFont="1" applyBorder="1" applyAlignment="1">
      <alignment horizontal="center" vertical="center" wrapText="1"/>
    </xf>
    <xf numFmtId="0" fontId="12" fillId="0" borderId="0" xfId="5" applyFont="1" applyBorder="1" applyAlignment="1">
      <alignment horizontal="center" vertical="center" wrapText="1"/>
    </xf>
    <xf numFmtId="0" fontId="5" fillId="0" borderId="0" xfId="5" applyFont="1" applyBorder="1" applyAlignment="1">
      <alignment horizontal="center" vertical="center" wrapText="1"/>
    </xf>
    <xf numFmtId="0" fontId="15" fillId="0" borderId="0" xfId="5" applyFont="1" applyBorder="1" applyAlignment="1">
      <alignment horizontal="center" vertical="center" wrapText="1"/>
    </xf>
    <xf numFmtId="0" fontId="12" fillId="0" borderId="0" xfId="5" applyFont="1" applyBorder="1" applyAlignment="1">
      <alignment horizontal="right" vertical="center" wrapText="1"/>
    </xf>
    <xf numFmtId="0" fontId="12" fillId="0" borderId="0" xfId="0" applyFont="1" applyAlignment="1">
      <alignment horizontal="center" vertical="center" wrapText="1"/>
    </xf>
    <xf numFmtId="0" fontId="14" fillId="0" borderId="0" xfId="5" applyFont="1" applyBorder="1" applyAlignment="1">
      <alignment horizontal="center" vertical="center" wrapText="1"/>
    </xf>
    <xf numFmtId="164" fontId="12" fillId="0" borderId="0" xfId="5" applyNumberFormat="1" applyFont="1" applyBorder="1" applyAlignment="1">
      <alignment horizontal="center" vertical="center" wrapText="1"/>
    </xf>
    <xf numFmtId="0" fontId="50" fillId="0" borderId="0" xfId="0" applyFont="1" applyAlignment="1"/>
    <xf numFmtId="0" fontId="17" fillId="0" borderId="0" xfId="5" applyFont="1" applyBorder="1" applyAlignment="1">
      <alignment horizontal="center" vertical="center" wrapText="1"/>
    </xf>
    <xf numFmtId="43" fontId="10" fillId="4" borderId="10" xfId="5" applyNumberFormat="1" applyFont="1" applyFill="1" applyBorder="1" applyAlignment="1">
      <alignment horizontal="center" vertical="center" wrapText="1"/>
    </xf>
    <xf numFmtId="43" fontId="6" fillId="4" borderId="10" xfId="5" applyNumberFormat="1" applyFont="1" applyFill="1" applyBorder="1" applyAlignment="1">
      <alignment horizontal="center" vertical="center" wrapText="1"/>
    </xf>
    <xf numFmtId="164" fontId="10" fillId="0" borderId="10" xfId="5" applyNumberFormat="1" applyFont="1" applyBorder="1" applyAlignment="1">
      <alignment horizontal="center" vertical="center" wrapText="1"/>
    </xf>
    <xf numFmtId="164" fontId="21" fillId="0" borderId="10" xfId="1" applyNumberFormat="1" applyFont="1" applyBorder="1" applyAlignment="1">
      <alignment vertical="center" wrapText="1"/>
    </xf>
    <xf numFmtId="164" fontId="4" fillId="0" borderId="0" xfId="1" applyNumberFormat="1" applyFont="1" applyAlignment="1">
      <alignment vertical="center" wrapText="1"/>
    </xf>
    <xf numFmtId="165" fontId="11" fillId="0" borderId="0" xfId="1" applyNumberFormat="1" applyFont="1" applyAlignment="1">
      <alignment horizontal="center" vertical="center" wrapText="1"/>
    </xf>
    <xf numFmtId="164" fontId="6" fillId="0" borderId="0" xfId="1" applyNumberFormat="1" applyFont="1" applyAlignment="1">
      <alignment horizontal="center" vertical="center" wrapText="1"/>
    </xf>
    <xf numFmtId="164" fontId="10" fillId="3" borderId="10" xfId="5" applyNumberFormat="1" applyFont="1" applyFill="1" applyBorder="1" applyAlignment="1">
      <alignment horizontal="center" vertical="center" wrapText="1"/>
    </xf>
    <xf numFmtId="43" fontId="4" fillId="3" borderId="0" xfId="9" applyFont="1" applyFill="1" applyBorder="1" applyAlignment="1">
      <alignment horizontal="center" vertical="center" wrapText="1"/>
    </xf>
    <xf numFmtId="43" fontId="12" fillId="0" borderId="0" xfId="5" applyNumberFormat="1" applyFont="1" applyBorder="1" applyAlignment="1">
      <alignment horizontal="center" vertical="center" wrapText="1"/>
    </xf>
    <xf numFmtId="164" fontId="10" fillId="3" borderId="10" xfId="1" applyNumberFormat="1" applyFont="1" applyFill="1" applyBorder="1" applyAlignment="1">
      <alignment horizontal="center" vertical="center" wrapText="1"/>
    </xf>
    <xf numFmtId="164" fontId="6" fillId="3" borderId="0" xfId="1" applyNumberFormat="1" applyFont="1" applyFill="1" applyAlignment="1">
      <alignment horizontal="center" vertical="center" wrapText="1"/>
    </xf>
    <xf numFmtId="164" fontId="6" fillId="3" borderId="0" xfId="5" applyNumberFormat="1" applyFont="1" applyFill="1" applyBorder="1" applyAlignment="1">
      <alignment horizontal="center" vertical="center" wrapText="1"/>
    </xf>
    <xf numFmtId="0" fontId="3" fillId="3" borderId="10" xfId="5" applyFont="1" applyFill="1" applyBorder="1" applyAlignment="1">
      <alignment horizontal="center" vertical="center"/>
    </xf>
    <xf numFmtId="164" fontId="21" fillId="3" borderId="10" xfId="1" applyNumberFormat="1" applyFont="1" applyFill="1" applyBorder="1" applyAlignment="1">
      <alignment horizontal="center" vertical="center" wrapText="1"/>
    </xf>
    <xf numFmtId="164" fontId="4" fillId="3" borderId="0" xfId="1" applyNumberFormat="1" applyFont="1" applyFill="1" applyAlignment="1">
      <alignment horizontal="center" vertical="center" wrapText="1"/>
    </xf>
    <xf numFmtId="0" fontId="3" fillId="3" borderId="11" xfId="5" applyFont="1" applyFill="1" applyBorder="1" applyAlignment="1">
      <alignment horizontal="center" vertical="center"/>
    </xf>
    <xf numFmtId="164" fontId="21" fillId="3" borderId="11" xfId="1" applyNumberFormat="1" applyFont="1" applyFill="1" applyBorder="1" applyAlignment="1">
      <alignment horizontal="center" vertical="center" wrapText="1"/>
    </xf>
    <xf numFmtId="3" fontId="49" fillId="0" borderId="16" xfId="0" applyNumberFormat="1" applyFont="1" applyBorder="1" applyAlignment="1">
      <alignment horizontal="justify" vertical="center" wrapText="1"/>
    </xf>
    <xf numFmtId="0" fontId="12" fillId="0" borderId="8" xfId="5" applyFont="1" applyBorder="1" applyAlignment="1">
      <alignment horizontal="center" vertical="center" wrapText="1"/>
    </xf>
    <xf numFmtId="164" fontId="12" fillId="0" borderId="8" xfId="5" applyNumberFormat="1" applyFont="1" applyBorder="1" applyAlignment="1">
      <alignment horizontal="center" vertical="center" wrapText="1"/>
    </xf>
    <xf numFmtId="3" fontId="15" fillId="0" borderId="0" xfId="5" applyNumberFormat="1" applyFont="1" applyBorder="1" applyAlignment="1">
      <alignment horizontal="right" vertical="top" wrapText="1"/>
    </xf>
    <xf numFmtId="0" fontId="16" fillId="0" borderId="0" xfId="5" applyFont="1" applyBorder="1" applyAlignment="1">
      <alignment horizontal="center" vertical="center" wrapText="1"/>
    </xf>
    <xf numFmtId="164" fontId="15" fillId="0" borderId="0" xfId="5" applyNumberFormat="1" applyFont="1" applyBorder="1" applyAlignment="1">
      <alignment horizontal="center" vertical="center" wrapText="1"/>
    </xf>
    <xf numFmtId="0" fontId="10" fillId="0" borderId="9" xfId="5" applyFont="1" applyBorder="1" applyAlignment="1">
      <alignment horizontal="center" vertical="center" wrapText="1"/>
    </xf>
    <xf numFmtId="164" fontId="21" fillId="0" borderId="10" xfId="9" applyNumberFormat="1" applyFont="1" applyBorder="1" applyAlignment="1">
      <alignment horizontal="center" vertical="center" wrapText="1"/>
    </xf>
    <xf numFmtId="164" fontId="10" fillId="4" borderId="10" xfId="9" applyNumberFormat="1" applyFont="1" applyFill="1" applyBorder="1" applyAlignment="1">
      <alignment horizontal="center" vertical="center" wrapText="1"/>
    </xf>
    <xf numFmtId="164" fontId="10" fillId="0" borderId="10" xfId="9" applyNumberFormat="1" applyFont="1" applyBorder="1" applyAlignment="1">
      <alignment horizontal="center" vertical="center" wrapText="1"/>
    </xf>
    <xf numFmtId="164" fontId="10" fillId="3" borderId="10" xfId="9" applyNumberFormat="1" applyFont="1" applyFill="1" applyBorder="1" applyAlignment="1">
      <alignment horizontal="center" vertical="center" wrapText="1"/>
    </xf>
    <xf numFmtId="164" fontId="21" fillId="3" borderId="10" xfId="9" applyNumberFormat="1" applyFont="1" applyFill="1" applyBorder="1" applyAlignment="1">
      <alignment horizontal="center" vertical="center" wrapText="1"/>
    </xf>
    <xf numFmtId="164" fontId="21" fillId="0" borderId="10" xfId="9" applyNumberFormat="1" applyFont="1" applyBorder="1" applyAlignment="1">
      <alignment horizontal="right" vertical="center" wrapText="1"/>
    </xf>
    <xf numFmtId="164" fontId="21" fillId="0" borderId="10" xfId="9" applyNumberFormat="1" applyFont="1" applyFill="1" applyBorder="1" applyAlignment="1">
      <alignment horizontal="center" vertical="center" wrapText="1"/>
    </xf>
    <xf numFmtId="43" fontId="4" fillId="0" borderId="0" xfId="9" applyFont="1" applyAlignment="1">
      <alignment horizontal="center" vertical="center" wrapText="1"/>
    </xf>
    <xf numFmtId="164" fontId="12" fillId="0" borderId="0" xfId="5" applyNumberFormat="1" applyFont="1" applyBorder="1" applyAlignment="1">
      <alignment horizontal="center" vertical="center" wrapText="1"/>
    </xf>
    <xf numFmtId="0" fontId="12" fillId="0" borderId="0" xfId="5" applyFont="1" applyBorder="1" applyAlignment="1">
      <alignment horizontal="center" vertical="center" wrapText="1"/>
    </xf>
    <xf numFmtId="0" fontId="21" fillId="0" borderId="10" xfId="5" applyFont="1" applyFill="1" applyBorder="1" applyAlignment="1">
      <alignment horizontal="center" vertical="center" wrapText="1"/>
    </xf>
    <xf numFmtId="0" fontId="21" fillId="0" borderId="10" xfId="5" applyFont="1" applyFill="1" applyBorder="1" applyAlignment="1">
      <alignment horizontal="left" vertical="center" wrapText="1"/>
    </xf>
    <xf numFmtId="4" fontId="21" fillId="0" borderId="10" xfId="5" applyNumberFormat="1" applyFont="1" applyFill="1" applyBorder="1" applyAlignment="1">
      <alignment horizontal="center" vertical="center" wrapText="1"/>
    </xf>
    <xf numFmtId="43" fontId="21" fillId="0" borderId="10" xfId="3" applyNumberFormat="1" applyFont="1" applyFill="1" applyBorder="1" applyAlignment="1">
      <alignment horizontal="center" vertical="center" wrapText="1"/>
    </xf>
    <xf numFmtId="164" fontId="21" fillId="0" borderId="10" xfId="1" applyNumberFormat="1" applyFont="1" applyFill="1" applyBorder="1" applyAlignment="1">
      <alignment horizontal="center" vertical="center" wrapText="1"/>
    </xf>
    <xf numFmtId="164" fontId="21" fillId="0" borderId="18" xfId="1" applyNumberFormat="1" applyFont="1" applyFill="1" applyBorder="1" applyAlignment="1">
      <alignment vertical="center" wrapText="1"/>
    </xf>
    <xf numFmtId="0" fontId="11" fillId="0" borderId="11" xfId="5" applyFont="1" applyBorder="1" applyAlignment="1">
      <alignment horizontal="center" vertical="center" wrapText="1"/>
    </xf>
    <xf numFmtId="0" fontId="11" fillId="0" borderId="11" xfId="0" applyFont="1" applyBorder="1" applyAlignment="1">
      <alignment horizontal="left" vertical="center"/>
    </xf>
    <xf numFmtId="164" fontId="11" fillId="0" borderId="11" xfId="5" applyNumberFormat="1" applyFont="1" applyBorder="1" applyAlignment="1">
      <alignment horizontal="center" vertical="center" wrapText="1"/>
    </xf>
    <xf numFmtId="164" fontId="15" fillId="0" borderId="11" xfId="5" applyNumberFormat="1" applyFont="1" applyBorder="1" applyAlignment="1">
      <alignment horizontal="center" vertical="center" wrapText="1"/>
    </xf>
    <xf numFmtId="43" fontId="6" fillId="4" borderId="0" xfId="5" applyNumberFormat="1" applyFont="1" applyFill="1" applyBorder="1" applyAlignment="1">
      <alignment horizontal="center" vertical="center" wrapText="1"/>
    </xf>
    <xf numFmtId="43" fontId="6" fillId="0" borderId="0" xfId="9" applyFont="1" applyAlignment="1">
      <alignment horizontal="center" vertical="center" wrapText="1"/>
    </xf>
    <xf numFmtId="43" fontId="4" fillId="0" borderId="0" xfId="1" applyNumberFormat="1" applyFont="1" applyAlignment="1">
      <alignment horizontal="center" vertical="center" wrapText="1"/>
    </xf>
    <xf numFmtId="0" fontId="51" fillId="0" borderId="10" xfId="5" applyFont="1" applyFill="1" applyBorder="1" applyAlignment="1">
      <alignment horizontal="center" vertical="center" wrapText="1"/>
    </xf>
    <xf numFmtId="0" fontId="51" fillId="0" borderId="10" xfId="5" applyFont="1" applyFill="1" applyBorder="1" applyAlignment="1">
      <alignment horizontal="left" vertical="center" wrapText="1"/>
    </xf>
    <xf numFmtId="43" fontId="51" fillId="0" borderId="10" xfId="1" applyNumberFormat="1" applyFont="1" applyFill="1" applyBorder="1" applyAlignment="1">
      <alignment horizontal="center" vertical="center" wrapText="1"/>
    </xf>
    <xf numFmtId="164" fontId="51" fillId="0" borderId="10" xfId="9" applyNumberFormat="1" applyFont="1" applyFill="1" applyBorder="1" applyAlignment="1">
      <alignment horizontal="center" vertical="center" wrapText="1"/>
    </xf>
    <xf numFmtId="43" fontId="51" fillId="0" borderId="10" xfId="5" applyNumberFormat="1" applyFont="1" applyFill="1" applyBorder="1" applyAlignment="1">
      <alignment horizontal="center" vertical="center" wrapText="1"/>
    </xf>
    <xf numFmtId="3" fontId="51" fillId="0" borderId="10" xfId="0" applyNumberFormat="1" applyFont="1" applyBorder="1" applyAlignment="1">
      <alignment horizontal="center" vertical="center" wrapText="1"/>
    </xf>
    <xf numFmtId="0" fontId="51" fillId="0" borderId="10" xfId="0" applyFont="1" applyBorder="1" applyAlignment="1">
      <alignment horizontal="left" vertical="center" wrapText="1"/>
    </xf>
    <xf numFmtId="164" fontId="51" fillId="0" borderId="10" xfId="9" applyNumberFormat="1" applyFont="1" applyBorder="1" applyAlignment="1">
      <alignment horizontal="right" vertical="center" wrapText="1"/>
    </xf>
    <xf numFmtId="43" fontId="51" fillId="0" borderId="10" xfId="3" applyNumberFormat="1" applyFont="1" applyBorder="1" applyAlignment="1">
      <alignment horizontal="center" vertical="center" wrapText="1"/>
    </xf>
    <xf numFmtId="164" fontId="51" fillId="0" borderId="10" xfId="9" applyNumberFormat="1" applyFont="1" applyBorder="1" applyAlignment="1">
      <alignment horizontal="center" vertical="center" wrapText="1"/>
    </xf>
    <xf numFmtId="164" fontId="51" fillId="0" borderId="10" xfId="1" applyNumberFormat="1" applyFont="1" applyBorder="1" applyAlignment="1">
      <alignment horizontal="center" vertical="center" wrapText="1"/>
    </xf>
    <xf numFmtId="0" fontId="10" fillId="0" borderId="17" xfId="5" applyFont="1" applyBorder="1" applyAlignment="1">
      <alignment horizontal="center" vertical="center" wrapText="1"/>
    </xf>
    <xf numFmtId="0" fontId="10" fillId="0" borderId="4" xfId="5" applyFont="1" applyBorder="1" applyAlignment="1">
      <alignment horizontal="center" vertical="center" wrapText="1"/>
    </xf>
    <xf numFmtId="0" fontId="10" fillId="0" borderId="5" xfId="5" applyFont="1" applyBorder="1" applyAlignment="1">
      <alignment horizontal="center" vertical="center" wrapText="1"/>
    </xf>
    <xf numFmtId="0" fontId="10" fillId="0" borderId="7" xfId="5" applyFont="1" applyBorder="1" applyAlignment="1">
      <alignment horizontal="center" vertical="center" wrapText="1"/>
    </xf>
    <xf numFmtId="0" fontId="10" fillId="0" borderId="9" xfId="5" applyFont="1" applyBorder="1" applyAlignment="1">
      <alignment horizontal="center" vertical="center" wrapText="1"/>
    </xf>
    <xf numFmtId="0" fontId="10" fillId="0" borderId="13" xfId="5" applyFont="1" applyBorder="1" applyAlignment="1">
      <alignment horizontal="center" vertical="center" wrapText="1"/>
    </xf>
    <xf numFmtId="0" fontId="12" fillId="0" borderId="0" xfId="5" applyFont="1" applyBorder="1" applyAlignment="1">
      <alignment horizontal="right" vertical="center" wrapText="1"/>
    </xf>
    <xf numFmtId="0" fontId="12" fillId="0" borderId="0" xfId="0" applyFont="1" applyAlignment="1">
      <alignment horizontal="center" vertical="center" wrapText="1"/>
    </xf>
    <xf numFmtId="0" fontId="14" fillId="0" borderId="0" xfId="5" applyFont="1" applyBorder="1" applyAlignment="1">
      <alignment horizontal="center" vertical="center" wrapText="1"/>
    </xf>
    <xf numFmtId="3" fontId="15" fillId="0" borderId="3" xfId="5" applyNumberFormat="1" applyFont="1" applyBorder="1" applyAlignment="1">
      <alignment horizontal="right" vertical="top" wrapText="1"/>
    </xf>
    <xf numFmtId="165" fontId="12" fillId="0" borderId="0" xfId="5" applyNumberFormat="1" applyFont="1" applyBorder="1" applyAlignment="1">
      <alignment horizontal="center" vertical="center" wrapText="1"/>
    </xf>
    <xf numFmtId="164" fontId="12" fillId="0" borderId="0" xfId="5" applyNumberFormat="1" applyFont="1" applyBorder="1" applyAlignment="1">
      <alignment horizontal="center" vertical="center" wrapText="1"/>
    </xf>
    <xf numFmtId="0" fontId="12" fillId="0" borderId="0" xfId="5" applyFont="1" applyBorder="1" applyAlignment="1">
      <alignment horizontal="center" vertical="center" wrapText="1"/>
    </xf>
    <xf numFmtId="0" fontId="5" fillId="0" borderId="0" xfId="5" applyFont="1" applyBorder="1" applyAlignment="1">
      <alignment horizontal="center" vertical="center" wrapText="1"/>
    </xf>
    <xf numFmtId="0" fontId="15" fillId="0" borderId="0" xfId="5" applyFont="1" applyBorder="1" applyAlignment="1">
      <alignment horizontal="right" vertical="top" wrapText="1"/>
    </xf>
    <xf numFmtId="164" fontId="21" fillId="0" borderId="18" xfId="1" applyNumberFormat="1" applyFont="1" applyFill="1" applyBorder="1" applyAlignment="1">
      <alignment horizontal="center" vertical="center" wrapText="1"/>
    </xf>
    <xf numFmtId="164" fontId="21" fillId="0" borderId="14" xfId="1" applyNumberFormat="1" applyFont="1" applyFill="1" applyBorder="1" applyAlignment="1">
      <alignment horizontal="center" vertical="center" wrapText="1"/>
    </xf>
    <xf numFmtId="0" fontId="15" fillId="0" borderId="0" xfId="5" applyFont="1" applyBorder="1" applyAlignment="1">
      <alignment horizontal="center" vertical="center" wrapText="1"/>
    </xf>
    <xf numFmtId="0" fontId="29" fillId="0" borderId="9" xfId="5" applyFont="1" applyBorder="1" applyAlignment="1">
      <alignment horizontal="center" vertical="center" wrapText="1"/>
    </xf>
    <xf numFmtId="0" fontId="29" fillId="0" borderId="12" xfId="5" applyFont="1" applyBorder="1" applyAlignment="1">
      <alignment horizontal="center" vertical="center" wrapText="1"/>
    </xf>
    <xf numFmtId="0" fontId="29" fillId="0" borderId="13" xfId="5" applyFont="1" applyBorder="1" applyAlignment="1">
      <alignment horizontal="center" vertical="center" wrapText="1"/>
    </xf>
    <xf numFmtId="0" fontId="6" fillId="0" borderId="4" xfId="5" applyFont="1" applyBorder="1" applyAlignment="1">
      <alignment horizontal="center" vertical="center" wrapText="1"/>
    </xf>
  </cellXfs>
  <cellStyles count="10">
    <cellStyle name="Comma" xfId="9" builtinId="3"/>
    <cellStyle name="Comma [0]" xfId="1" builtinId="6"/>
    <cellStyle name="Comma 2" xfId="2"/>
    <cellStyle name="Currency" xfId="3" builtinId="4"/>
    <cellStyle name="Ledger 17 x 11 in" xfId="4"/>
    <cellStyle name="Linked Cell" xfId="5" builtinId="24"/>
    <cellStyle name="Normal" xfId="0" builtinId="0"/>
    <cellStyle name="Normal 2" xfId="6"/>
    <cellStyle name="Normal_DU TOAN VA DANH SACH THAM GIA VSMT 2016" xfId="7"/>
    <cellStyle name="Note" xfId="8"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_DVCI_Lang_Can_2024%20-%20T&#225;ch%20theo%20&#253;%20ki&#7871;n%20c&#7911;a%20S&#7903;%20T&#224;i%20ch&#237;n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_DVCI_Lang_Can_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Đường phố"/>
      <sheetName val="Vỉa hè"/>
      <sheetName val="Ngõ xóm"/>
      <sheetName val="Ngõ xóm (bổ sung)"/>
      <sheetName val="Tưới đường"/>
      <sheetName val="Thảm cỏ"/>
      <sheetName val="Hàng rào, đường viền"/>
      <sheetName val="Cây xanh"/>
      <sheetName val="Giải phân cách"/>
      <sheetName val="Tiêu thụ điện"/>
      <sheetName val="Thảm cỏ, cây xanh lập dự toán"/>
      <sheetName val="Ngày tháng trong nam (2)"/>
      <sheetName val="Ngày tháng trong nam"/>
    </sheetNames>
    <sheetDataSet>
      <sheetData sheetId="0">
        <row r="23">
          <cell r="L23">
            <v>269.4186418000001</v>
          </cell>
          <cell r="N23">
            <v>1545.3446624000003</v>
          </cell>
        </row>
      </sheetData>
      <sheetData sheetId="1">
        <row r="20">
          <cell r="L20">
            <v>196.98808919999999</v>
          </cell>
          <cell r="N20">
            <v>1129.8939456000001</v>
          </cell>
        </row>
      </sheetData>
      <sheetData sheetId="2">
        <row r="15">
          <cell r="G15">
            <v>131.88</v>
          </cell>
          <cell r="I15">
            <v>725.34</v>
          </cell>
        </row>
      </sheetData>
      <sheetData sheetId="3" refreshError="1"/>
      <sheetData sheetId="4">
        <row r="6">
          <cell r="H6">
            <v>159.33855999999997</v>
          </cell>
          <cell r="J6">
            <v>863.78271999999981</v>
          </cell>
        </row>
        <row r="18">
          <cell r="H18">
            <v>16.561540000000001</v>
          </cell>
          <cell r="J18">
            <v>89.78098</v>
          </cell>
        </row>
      </sheetData>
      <sheetData sheetId="5">
        <row r="16">
          <cell r="H16">
            <v>814.47450000000003</v>
          </cell>
          <cell r="J16">
            <v>3529.3894999999998</v>
          </cell>
          <cell r="AE16">
            <v>542.98300000000006</v>
          </cell>
          <cell r="AU16">
            <v>1085.9660000000001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Đường phố"/>
      <sheetName val="Vỉa hè"/>
      <sheetName val="Ngõ xóm"/>
      <sheetName val="Ngõ xóm (bổ sung)"/>
      <sheetName val="Tưới đường"/>
      <sheetName val="Thảm cỏ"/>
      <sheetName val="Hàng rào, đường viền"/>
      <sheetName val="Cây xanh"/>
      <sheetName val="Giải phân cách"/>
      <sheetName val="Tiêu thụ điện"/>
      <sheetName val="Thảm cỏ, cây xanh lập dự toán"/>
      <sheetName val="Ngày tháng trong nam (2)"/>
      <sheetName val="Ngày tháng trong nam"/>
    </sheetNames>
    <sheetDataSet>
      <sheetData sheetId="0" refreshError="1"/>
      <sheetData sheetId="1" refreshError="1"/>
      <sheetData sheetId="2" refreshError="1"/>
      <sheetData sheetId="3" refreshError="1"/>
      <sheetData sheetId="4" refreshError="1"/>
      <sheetData sheetId="5" refreshError="1"/>
      <sheetData sheetId="6" refreshError="1">
        <row r="15">
          <cell r="H15">
            <v>9.5725733333333327</v>
          </cell>
          <cell r="L15">
            <v>4.3600000000000003</v>
          </cell>
        </row>
      </sheetData>
      <sheetData sheetId="7" refreshError="1">
        <row r="23">
          <cell r="D23">
            <v>279</v>
          </cell>
        </row>
        <row r="24">
          <cell r="D24">
            <v>531</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12"/>
  <sheetViews>
    <sheetView view="pageBreakPreview" zoomScale="60" zoomScaleNormal="100" workbookViewId="0">
      <selection activeCell="D12" sqref="D12"/>
    </sheetView>
  </sheetViews>
  <sheetFormatPr defaultColWidth="10.28515625" defaultRowHeight="15.75" customHeight="1" x14ac:dyDescent="0.2"/>
  <cols>
    <col min="1" max="1" width="4.140625" style="1" customWidth="1"/>
    <col min="2" max="2" width="27.7109375" style="1" customWidth="1"/>
    <col min="3" max="3" width="22" style="1" customWidth="1"/>
    <col min="4" max="4" width="25.7109375" style="1" customWidth="1"/>
    <col min="5" max="5" width="23.140625" style="1" customWidth="1"/>
    <col min="6" max="6" width="13.28515625" style="1" customWidth="1"/>
    <col min="7" max="8" width="19.5703125" style="1" customWidth="1"/>
    <col min="9" max="9" width="22" style="1" customWidth="1"/>
    <col min="10" max="257" width="10.28515625" style="1" customWidth="1"/>
  </cols>
  <sheetData>
    <row r="1" spans="1:14" ht="11.25" customHeight="1" x14ac:dyDescent="0.2">
      <c r="E1" s="358"/>
      <c r="F1" s="358"/>
      <c r="G1" s="287"/>
      <c r="H1" s="287"/>
    </row>
    <row r="2" spans="1:14" ht="35.25" customHeight="1" x14ac:dyDescent="0.2">
      <c r="A2" s="359" t="s">
        <v>186</v>
      </c>
      <c r="B2" s="359"/>
      <c r="C2" s="359"/>
      <c r="D2" s="359"/>
      <c r="E2" s="359"/>
      <c r="F2" s="359"/>
      <c r="G2" s="288"/>
      <c r="H2" s="288"/>
      <c r="I2" s="3"/>
      <c r="J2" s="3"/>
      <c r="K2" s="3"/>
      <c r="L2" s="3"/>
      <c r="M2" s="3"/>
      <c r="N2" s="3"/>
    </row>
    <row r="3" spans="1:14" ht="22.5" hidden="1" customHeight="1" x14ac:dyDescent="0.2">
      <c r="A3" s="359" t="s">
        <v>68</v>
      </c>
      <c r="B3" s="359"/>
      <c r="C3" s="359"/>
      <c r="D3" s="359"/>
      <c r="E3" s="359"/>
      <c r="F3" s="359"/>
      <c r="G3" s="288"/>
      <c r="H3" s="288"/>
      <c r="I3" s="3"/>
      <c r="J3" s="3"/>
      <c r="K3" s="3"/>
      <c r="L3" s="3"/>
      <c r="M3" s="3"/>
      <c r="N3" s="3"/>
    </row>
    <row r="4" spans="1:14" ht="24.75" hidden="1" customHeight="1" x14ac:dyDescent="0.2">
      <c r="A4" s="360" t="s">
        <v>11</v>
      </c>
      <c r="B4" s="360"/>
      <c r="C4" s="360"/>
      <c r="D4" s="360"/>
      <c r="E4" s="360"/>
      <c r="F4" s="360"/>
      <c r="G4" s="289"/>
      <c r="H4" s="289"/>
    </row>
    <row r="5" spans="1:14" ht="20.25" customHeight="1" x14ac:dyDescent="0.2">
      <c r="A5" s="361" t="s">
        <v>159</v>
      </c>
      <c r="B5" s="361"/>
      <c r="C5" s="361"/>
      <c r="D5" s="361"/>
      <c r="E5" s="361"/>
      <c r="F5" s="361"/>
      <c r="G5" s="314"/>
      <c r="H5" s="314"/>
    </row>
    <row r="6" spans="1:14" s="4" customFormat="1" ht="21" customHeight="1" x14ac:dyDescent="0.2">
      <c r="A6" s="353" t="s">
        <v>12</v>
      </c>
      <c r="B6" s="353" t="s">
        <v>13</v>
      </c>
      <c r="C6" s="353" t="s">
        <v>69</v>
      </c>
      <c r="D6" s="353"/>
      <c r="E6" s="353"/>
      <c r="F6" s="353" t="s">
        <v>15</v>
      </c>
      <c r="G6" s="352"/>
      <c r="H6" s="352"/>
    </row>
    <row r="7" spans="1:14" s="4" customFormat="1" ht="21" customHeight="1" x14ac:dyDescent="0.2">
      <c r="A7" s="353"/>
      <c r="B7" s="353"/>
      <c r="C7" s="353" t="s">
        <v>0</v>
      </c>
      <c r="D7" s="354" t="s">
        <v>65</v>
      </c>
      <c r="E7" s="355"/>
      <c r="F7" s="353"/>
      <c r="G7" s="352"/>
      <c r="H7" s="352"/>
    </row>
    <row r="8" spans="1:14" s="4" customFormat="1" ht="21" customHeight="1" x14ac:dyDescent="0.2">
      <c r="A8" s="353"/>
      <c r="B8" s="353"/>
      <c r="C8" s="353"/>
      <c r="D8" s="353" t="s">
        <v>177</v>
      </c>
      <c r="E8" s="356" t="s">
        <v>70</v>
      </c>
      <c r="F8" s="353"/>
      <c r="G8" s="352"/>
      <c r="H8" s="352"/>
    </row>
    <row r="9" spans="1:14" s="4" customFormat="1" ht="39.75" customHeight="1" x14ac:dyDescent="0.2">
      <c r="A9" s="353"/>
      <c r="B9" s="353"/>
      <c r="C9" s="353"/>
      <c r="D9" s="353"/>
      <c r="E9" s="357"/>
      <c r="F9" s="353"/>
      <c r="G9" s="352"/>
      <c r="H9" s="352"/>
    </row>
    <row r="10" spans="1:14" s="4" customFormat="1" ht="15" customHeight="1" thickBot="1" x14ac:dyDescent="0.25">
      <c r="A10" s="5" t="s">
        <v>17</v>
      </c>
      <c r="B10" s="5" t="s">
        <v>18</v>
      </c>
      <c r="C10" s="5" t="s">
        <v>187</v>
      </c>
      <c r="D10" s="5">
        <v>3</v>
      </c>
      <c r="E10" s="5">
        <v>4</v>
      </c>
      <c r="F10" s="5">
        <v>5</v>
      </c>
      <c r="G10" s="315"/>
      <c r="H10" s="315"/>
    </row>
    <row r="11" spans="1:14" s="2" customFormat="1" ht="32.25" customHeight="1" thickBot="1" x14ac:dyDescent="0.25">
      <c r="A11" s="312"/>
      <c r="B11" s="312" t="s">
        <v>0</v>
      </c>
      <c r="C11" s="313">
        <f>SUM(C12:C12)</f>
        <v>4565501000</v>
      </c>
      <c r="D11" s="313">
        <f>SUM(D12:D12)</f>
        <v>4565501000</v>
      </c>
      <c r="E11" s="313">
        <f>SUM(E12:E12)</f>
        <v>0</v>
      </c>
      <c r="F11" s="313"/>
      <c r="G11" s="290"/>
      <c r="H11" s="290"/>
      <c r="I11" s="311"/>
    </row>
    <row r="12" spans="1:14" ht="50.25" customHeight="1" x14ac:dyDescent="0.2">
      <c r="A12" s="334">
        <v>1</v>
      </c>
      <c r="B12" s="335" t="s">
        <v>8</v>
      </c>
      <c r="C12" s="336">
        <f>+D12+E12</f>
        <v>4565501000</v>
      </c>
      <c r="D12" s="336">
        <f>'01- Thị trấn Lăng Can'!F37</f>
        <v>4565501000</v>
      </c>
      <c r="E12" s="336">
        <f>'01- Thị trấn Lăng Can'!F36</f>
        <v>0</v>
      </c>
      <c r="F12" s="337" t="s">
        <v>71</v>
      </c>
      <c r="G12" s="316"/>
      <c r="H12" s="316"/>
      <c r="I12" s="280"/>
    </row>
  </sheetData>
  <mergeCells count="15">
    <mergeCell ref="E1:F1"/>
    <mergeCell ref="A2:F2"/>
    <mergeCell ref="A3:F3"/>
    <mergeCell ref="A4:F4"/>
    <mergeCell ref="A5:F5"/>
    <mergeCell ref="G6:G9"/>
    <mergeCell ref="H6:H9"/>
    <mergeCell ref="F6:F9"/>
    <mergeCell ref="A6:A9"/>
    <mergeCell ref="B6:B9"/>
    <mergeCell ref="C6:E6"/>
    <mergeCell ref="C7:C9"/>
    <mergeCell ref="D7:E7"/>
    <mergeCell ref="D8:D9"/>
    <mergeCell ref="E8:E9"/>
  </mergeCells>
  <printOptions gridLines="1" gridLinesSet="0"/>
  <pageMargins left="0.5" right="0.25" top="0.5" bottom="0.25" header="0.5" footer="0.5"/>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
  </sheetPr>
  <dimension ref="A1:JC54"/>
  <sheetViews>
    <sheetView tabSelected="1" view="pageBreakPreview" topLeftCell="A4" zoomScale="60" zoomScaleNormal="90" workbookViewId="0">
      <pane xSplit="3" ySplit="2" topLeftCell="D24" activePane="bottomRight" state="frozen"/>
      <selection activeCell="A4" sqref="A4"/>
      <selection pane="topRight" activeCell="D4" sqref="D4"/>
      <selection pane="bottomLeft" activeCell="A6" sqref="A6"/>
      <selection pane="bottomRight" activeCell="B32" sqref="B32"/>
    </sheetView>
  </sheetViews>
  <sheetFormatPr defaultColWidth="8" defaultRowHeight="15.75" customHeight="1" x14ac:dyDescent="0.2"/>
  <cols>
    <col min="1" max="1" width="5.42578125" style="1" customWidth="1"/>
    <col min="2" max="2" width="51.140625" style="1" customWidth="1"/>
    <col min="3" max="3" width="15.140625" style="1" customWidth="1"/>
    <col min="4" max="4" width="15.7109375" style="1" customWidth="1"/>
    <col min="5" max="5" width="18" style="1" customWidth="1"/>
    <col min="6" max="6" width="19.7109375" style="1" customWidth="1"/>
    <col min="7" max="7" width="16.28515625" style="1" customWidth="1"/>
    <col min="8" max="8" width="17.85546875" style="1" customWidth="1"/>
    <col min="9" max="9" width="19" style="1" customWidth="1"/>
    <col min="10" max="10" width="18.7109375" style="1" customWidth="1"/>
    <col min="11" max="12" width="12.85546875" style="1" customWidth="1"/>
    <col min="13" max="243" width="9.140625" style="1" customWidth="1"/>
    <col min="244" max="16384" width="8" style="291"/>
  </cols>
  <sheetData>
    <row r="1" spans="1:23" ht="30" customHeight="1" x14ac:dyDescent="0.2">
      <c r="A1" s="364" t="s">
        <v>179</v>
      </c>
      <c r="B1" s="364"/>
      <c r="C1" s="364"/>
      <c r="D1" s="364"/>
      <c r="E1" s="364"/>
      <c r="F1" s="364"/>
      <c r="G1" s="364"/>
      <c r="H1" s="284"/>
      <c r="I1" s="284"/>
    </row>
    <row r="2" spans="1:23" ht="20.25" customHeight="1" x14ac:dyDescent="0.2">
      <c r="A2" s="366" t="s">
        <v>154</v>
      </c>
      <c r="B2" s="366"/>
      <c r="C2" s="366"/>
      <c r="D2" s="366"/>
      <c r="E2" s="366"/>
      <c r="F2" s="366"/>
      <c r="G2" s="366"/>
      <c r="H2" s="286"/>
      <c r="I2" s="286"/>
    </row>
    <row r="3" spans="1:23" ht="10.5" customHeight="1" x14ac:dyDescent="0.2">
      <c r="A3" s="25"/>
      <c r="B3" s="25"/>
      <c r="C3" s="25"/>
      <c r="D3" s="25"/>
      <c r="E3" s="25"/>
      <c r="F3" s="25"/>
      <c r="G3" s="185"/>
      <c r="H3" s="183"/>
      <c r="I3" s="183"/>
    </row>
    <row r="4" spans="1:23" ht="33.75" customHeight="1" x14ac:dyDescent="0.2">
      <c r="A4" s="317" t="s">
        <v>12</v>
      </c>
      <c r="B4" s="317" t="s">
        <v>72</v>
      </c>
      <c r="C4" s="317" t="s">
        <v>14</v>
      </c>
      <c r="D4" s="317" t="s">
        <v>161</v>
      </c>
      <c r="E4" s="317" t="s">
        <v>156</v>
      </c>
      <c r="F4" s="317" t="s">
        <v>157</v>
      </c>
      <c r="G4" s="281" t="s">
        <v>15</v>
      </c>
      <c r="H4" s="30"/>
      <c r="I4" s="30"/>
    </row>
    <row r="5" spans="1:23" s="284" customFormat="1" ht="15.75" customHeight="1" x14ac:dyDescent="0.2">
      <c r="A5" s="5" t="s">
        <v>17</v>
      </c>
      <c r="B5" s="5" t="s">
        <v>18</v>
      </c>
      <c r="C5" s="5">
        <v>1</v>
      </c>
      <c r="D5" s="5">
        <v>2</v>
      </c>
      <c r="E5" s="5">
        <v>3</v>
      </c>
      <c r="F5" s="5" t="s">
        <v>158</v>
      </c>
      <c r="G5" s="5">
        <v>5</v>
      </c>
      <c r="H5" s="292"/>
      <c r="I5" s="292"/>
    </row>
    <row r="6" spans="1:23" s="28" customFormat="1" ht="31.5" customHeight="1" x14ac:dyDescent="0.2">
      <c r="A6" s="250" t="s">
        <v>17</v>
      </c>
      <c r="B6" s="251" t="s">
        <v>155</v>
      </c>
      <c r="C6" s="251"/>
      <c r="D6" s="251"/>
      <c r="E6" s="252"/>
      <c r="F6" s="319">
        <f>ROUND((F7+F18),-3)</f>
        <v>4565501000</v>
      </c>
      <c r="G6" s="293"/>
      <c r="H6" s="294"/>
      <c r="I6" s="294"/>
      <c r="J6" s="294">
        <f>+G6*32</f>
        <v>0</v>
      </c>
    </row>
    <row r="7" spans="1:23" s="28" customFormat="1" ht="31.5" customHeight="1" x14ac:dyDescent="0.2">
      <c r="A7" s="341" t="s">
        <v>38</v>
      </c>
      <c r="B7" s="342" t="s">
        <v>193</v>
      </c>
      <c r="C7" s="342"/>
      <c r="D7" s="342"/>
      <c r="E7" s="343"/>
      <c r="F7" s="344">
        <f>+F8+F14+F16</f>
        <v>601628294.86770165</v>
      </c>
      <c r="G7" s="345"/>
      <c r="H7" s="338"/>
      <c r="I7" s="338"/>
      <c r="J7" s="338"/>
    </row>
    <row r="8" spans="1:23" s="327" customFormat="1" ht="33.75" customHeight="1" x14ac:dyDescent="0.2">
      <c r="A8" s="247">
        <v>1</v>
      </c>
      <c r="B8" s="253" t="s">
        <v>178</v>
      </c>
      <c r="C8" s="248"/>
      <c r="D8" s="247"/>
      <c r="E8" s="254"/>
      <c r="F8" s="261">
        <f>SUM(F9:F13)</f>
        <v>527782723.66270161</v>
      </c>
      <c r="G8" s="295"/>
      <c r="H8" s="42"/>
      <c r="I8" s="42"/>
    </row>
    <row r="9" spans="1:23" s="1" customFormat="1" ht="34.5" customHeight="1" x14ac:dyDescent="0.2">
      <c r="A9" s="255" t="s">
        <v>194</v>
      </c>
      <c r="B9" s="256" t="s">
        <v>40</v>
      </c>
      <c r="C9" s="255" t="s">
        <v>162</v>
      </c>
      <c r="D9" s="324">
        <v>932436</v>
      </c>
      <c r="E9" s="258">
        <f>'[1]Đường phố'!$L$23</f>
        <v>269.4186418000001</v>
      </c>
      <c r="F9" s="318">
        <f>D9*E9</f>
        <v>251215640.68542489</v>
      </c>
      <c r="G9" s="257"/>
      <c r="H9" s="15" t="e">
        <f>F9-#REF!</f>
        <v>#REF!</v>
      </c>
      <c r="I9" s="15">
        <v>2923580287.5700002</v>
      </c>
      <c r="J9" s="15">
        <v>1423599000</v>
      </c>
      <c r="K9" s="15" t="e">
        <f>+J9+J10</f>
        <v>#REF!</v>
      </c>
    </row>
    <row r="10" spans="1:23" s="1" customFormat="1" ht="34.5" customHeight="1" x14ac:dyDescent="0.2">
      <c r="A10" s="255" t="s">
        <v>195</v>
      </c>
      <c r="B10" s="256" t="s">
        <v>42</v>
      </c>
      <c r="C10" s="255" t="s">
        <v>162</v>
      </c>
      <c r="D10" s="318">
        <v>671354</v>
      </c>
      <c r="E10" s="258">
        <f>'[1]Vỉa hè'!$L$20</f>
        <v>196.98808919999999</v>
      </c>
      <c r="F10" s="318">
        <f t="shared" ref="F10:F13" si="0">D10*E10</f>
        <v>132248741.63677679</v>
      </c>
      <c r="G10" s="257"/>
      <c r="H10" s="15" t="e">
        <f>F10-#REF!</f>
        <v>#REF!</v>
      </c>
      <c r="I10" s="15" t="e">
        <f>SUM(#REF!)</f>
        <v>#REF!</v>
      </c>
      <c r="J10" s="15" t="e">
        <f>+#REF!</f>
        <v>#REF!</v>
      </c>
      <c r="K10" s="15" t="e">
        <f>+K9-#REF!</f>
        <v>#REF!</v>
      </c>
    </row>
    <row r="11" spans="1:23" s="1" customFormat="1" ht="30" customHeight="1" x14ac:dyDescent="0.2">
      <c r="A11" s="255" t="s">
        <v>196</v>
      </c>
      <c r="B11" s="256" t="s">
        <v>43</v>
      </c>
      <c r="C11" s="255" t="s">
        <v>180</v>
      </c>
      <c r="D11" s="318">
        <v>484867</v>
      </c>
      <c r="E11" s="258">
        <f>'[1]Ngõ xóm'!$G$15</f>
        <v>131.88</v>
      </c>
      <c r="F11" s="318">
        <f t="shared" si="0"/>
        <v>63944259.960000001</v>
      </c>
      <c r="G11" s="257"/>
      <c r="H11" s="15" t="e">
        <f>F11-#REF!</f>
        <v>#REF!</v>
      </c>
      <c r="I11" s="15" t="e">
        <f>+I9-I10</f>
        <v>#REF!</v>
      </c>
      <c r="J11" s="15"/>
      <c r="K11" s="15"/>
    </row>
    <row r="12" spans="1:23" s="1" customFormat="1" ht="34.5" customHeight="1" x14ac:dyDescent="0.2">
      <c r="A12" s="255" t="s">
        <v>197</v>
      </c>
      <c r="B12" s="256" t="s">
        <v>49</v>
      </c>
      <c r="C12" s="255" t="s">
        <v>180</v>
      </c>
      <c r="D12" s="318">
        <v>417611</v>
      </c>
      <c r="E12" s="258">
        <f>'[1]Tưới đường'!$H$6</f>
        <v>159.33855999999997</v>
      </c>
      <c r="F12" s="318">
        <f t="shared" si="0"/>
        <v>66541535.380159989</v>
      </c>
      <c r="G12" s="296"/>
      <c r="H12" s="297" t="e">
        <f>F12-#REF!</f>
        <v>#REF!</v>
      </c>
      <c r="I12" s="297"/>
      <c r="J12" s="298"/>
      <c r="K12" s="33"/>
    </row>
    <row r="13" spans="1:23" s="1" customFormat="1" ht="35.25" customHeight="1" x14ac:dyDescent="0.2">
      <c r="A13" s="255" t="s">
        <v>198</v>
      </c>
      <c r="B13" s="256" t="s">
        <v>50</v>
      </c>
      <c r="C13" s="255" t="s">
        <v>180</v>
      </c>
      <c r="D13" s="318">
        <v>835221</v>
      </c>
      <c r="E13" s="258">
        <f>'[1]Tưới đường'!$H$18</f>
        <v>16.561540000000001</v>
      </c>
      <c r="F13" s="318">
        <f t="shared" si="0"/>
        <v>13832546.00034</v>
      </c>
      <c r="G13" s="296"/>
      <c r="H13" s="297"/>
      <c r="I13" s="297"/>
      <c r="J13" s="298"/>
      <c r="K13" s="33"/>
    </row>
    <row r="14" spans="1:23" s="327" customFormat="1" ht="31.5" customHeight="1" x14ac:dyDescent="0.2">
      <c r="A14" s="247">
        <v>2</v>
      </c>
      <c r="B14" s="248" t="s">
        <v>181</v>
      </c>
      <c r="C14" s="259"/>
      <c r="D14" s="260"/>
      <c r="E14" s="258"/>
      <c r="F14" s="261">
        <f>SUM(F15:F15)</f>
        <v>43240451.204999998</v>
      </c>
      <c r="G14" s="261"/>
      <c r="H14" s="299"/>
      <c r="I14" s="299"/>
      <c r="J14" s="326" t="e">
        <f>+#REF!+#REF!</f>
        <v>#REF!</v>
      </c>
    </row>
    <row r="15" spans="1:23" s="1" customFormat="1" ht="34.5" customHeight="1" x14ac:dyDescent="0.2">
      <c r="A15" s="249" t="s">
        <v>199</v>
      </c>
      <c r="B15" s="262" t="s">
        <v>53</v>
      </c>
      <c r="C15" s="263" t="s">
        <v>163</v>
      </c>
      <c r="D15" s="318">
        <v>53090</v>
      </c>
      <c r="E15" s="258">
        <f>'[1]Thảm cỏ'!$H$16</f>
        <v>814.47450000000003</v>
      </c>
      <c r="F15" s="318">
        <f>D15*E15</f>
        <v>43240451.204999998</v>
      </c>
      <c r="G15" s="257"/>
      <c r="H15" s="224"/>
      <c r="I15" s="224"/>
      <c r="J15" s="280">
        <v>1168.1600000000001</v>
      </c>
      <c r="K15" s="1">
        <v>1168.1600000000001</v>
      </c>
      <c r="L15" s="1">
        <v>1168.1600000000001</v>
      </c>
      <c r="M15" s="1">
        <v>1168.1600000000001</v>
      </c>
      <c r="N15" s="1">
        <v>277232000</v>
      </c>
      <c r="O15" s="1">
        <v>69308000</v>
      </c>
      <c r="P15" s="1">
        <v>69308000</v>
      </c>
      <c r="Q15" s="1">
        <v>69308000</v>
      </c>
      <c r="R15" s="1">
        <v>69308000</v>
      </c>
      <c r="T15" s="1">
        <v>1168.1600000000001</v>
      </c>
      <c r="U15" s="1">
        <v>1168.1600000000001</v>
      </c>
      <c r="V15" s="1">
        <v>1168.1600000000001</v>
      </c>
      <c r="W15" s="1">
        <v>1168.1600000000001</v>
      </c>
    </row>
    <row r="16" spans="1:23" s="327" customFormat="1" ht="34.5" customHeight="1" x14ac:dyDescent="0.2">
      <c r="A16" s="264">
        <v>3</v>
      </c>
      <c r="B16" s="253" t="s">
        <v>58</v>
      </c>
      <c r="C16" s="265"/>
      <c r="D16" s="320"/>
      <c r="E16" s="258"/>
      <c r="F16" s="261">
        <f t="shared" ref="F16" si="1">SUM(F17:F17)</f>
        <v>30605120</v>
      </c>
      <c r="G16" s="261"/>
      <c r="H16" s="299"/>
      <c r="I16" s="299">
        <v>28.5</v>
      </c>
      <c r="J16" s="326" t="e">
        <f>#REF!+#REF!+#REF!</f>
        <v>#REF!</v>
      </c>
    </row>
    <row r="17" spans="1:23" s="327" customFormat="1" ht="42.75" customHeight="1" x14ac:dyDescent="0.2">
      <c r="A17" s="255" t="s">
        <v>200</v>
      </c>
      <c r="B17" s="266" t="s">
        <v>191</v>
      </c>
      <c r="C17" s="255" t="s">
        <v>185</v>
      </c>
      <c r="D17" s="323">
        <v>109304</v>
      </c>
      <c r="E17" s="258">
        <f>10*28</f>
        <v>280</v>
      </c>
      <c r="F17" s="318">
        <f>D17*E17</f>
        <v>30605120</v>
      </c>
      <c r="G17" s="257"/>
      <c r="H17" s="325">
        <v>182.5</v>
      </c>
      <c r="I17" s="340">
        <v>182.5</v>
      </c>
      <c r="K17" s="326"/>
    </row>
    <row r="18" spans="1:23" s="327" customFormat="1" ht="33.75" customHeight="1" x14ac:dyDescent="0.2">
      <c r="A18" s="346" t="s">
        <v>51</v>
      </c>
      <c r="B18" s="347" t="s">
        <v>192</v>
      </c>
      <c r="C18" s="346"/>
      <c r="D18" s="348"/>
      <c r="E18" s="349"/>
      <c r="F18" s="350">
        <f>+F19+F25+F33</f>
        <v>3963873082.6864991</v>
      </c>
      <c r="G18" s="351"/>
      <c r="H18" s="339"/>
      <c r="I18" s="299"/>
      <c r="K18" s="326"/>
    </row>
    <row r="19" spans="1:23" s="284" customFormat="1" ht="33.75" customHeight="1" x14ac:dyDescent="0.2">
      <c r="A19" s="247" t="s">
        <v>38</v>
      </c>
      <c r="B19" s="253" t="s">
        <v>178</v>
      </c>
      <c r="C19" s="248"/>
      <c r="D19" s="247"/>
      <c r="E19" s="254"/>
      <c r="F19" s="261">
        <f>SUM(F20:F24)</f>
        <v>3156017226.3044658</v>
      </c>
      <c r="G19" s="295"/>
      <c r="H19" s="42"/>
      <c r="I19" s="42"/>
    </row>
    <row r="20" spans="1:23" s="1" customFormat="1" ht="34.5" customHeight="1" x14ac:dyDescent="0.2">
      <c r="A20" s="255">
        <v>1</v>
      </c>
      <c r="B20" s="256" t="s">
        <v>40</v>
      </c>
      <c r="C20" s="255" t="s">
        <v>162</v>
      </c>
      <c r="D20" s="324">
        <v>992855</v>
      </c>
      <c r="E20" s="258">
        <f>'[1]Đường phố'!$N$23</f>
        <v>1545.3446624000003</v>
      </c>
      <c r="F20" s="318">
        <f>D20*E20</f>
        <v>1534303174.7871523</v>
      </c>
      <c r="G20" s="257"/>
      <c r="H20" s="15" t="e">
        <f>F20-#REF!</f>
        <v>#REF!</v>
      </c>
      <c r="I20" s="15">
        <v>2923580287.5700002</v>
      </c>
      <c r="J20" s="15">
        <v>1423599000</v>
      </c>
      <c r="K20" s="15" t="e">
        <f>+J20+J21</f>
        <v>#REF!</v>
      </c>
    </row>
    <row r="21" spans="1:23" s="1" customFormat="1" ht="34.5" customHeight="1" x14ac:dyDescent="0.2">
      <c r="A21" s="255">
        <v>2</v>
      </c>
      <c r="B21" s="256" t="s">
        <v>42</v>
      </c>
      <c r="C21" s="255" t="s">
        <v>162</v>
      </c>
      <c r="D21" s="318">
        <v>714856</v>
      </c>
      <c r="E21" s="258">
        <f>'[1]Vỉa hè'!$N$20</f>
        <v>1129.8939456000001</v>
      </c>
      <c r="F21" s="318">
        <f t="shared" ref="F21:F24" si="2">D21*E21</f>
        <v>807711466.37583363</v>
      </c>
      <c r="G21" s="257"/>
      <c r="H21" s="15" t="e">
        <f>F21-#REF!</f>
        <v>#REF!</v>
      </c>
      <c r="I21" s="15" t="e">
        <f>SUM(#REF!)</f>
        <v>#REF!</v>
      </c>
      <c r="J21" s="15" t="e">
        <f>+#REF!</f>
        <v>#REF!</v>
      </c>
      <c r="K21" s="15" t="e">
        <f>+K20-#REF!</f>
        <v>#REF!</v>
      </c>
    </row>
    <row r="22" spans="1:23" s="1" customFormat="1" ht="30" customHeight="1" x14ac:dyDescent="0.2">
      <c r="A22" s="255">
        <v>3</v>
      </c>
      <c r="B22" s="256" t="s">
        <v>43</v>
      </c>
      <c r="C22" s="255" t="s">
        <v>180</v>
      </c>
      <c r="D22" s="318">
        <v>516285</v>
      </c>
      <c r="E22" s="258">
        <f>'[1]Ngõ xóm'!$I$15</f>
        <v>725.34</v>
      </c>
      <c r="F22" s="318">
        <f t="shared" si="2"/>
        <v>374482161.90000004</v>
      </c>
      <c r="G22" s="257"/>
      <c r="H22" s="15" t="e">
        <f>F22-#REF!</f>
        <v>#REF!</v>
      </c>
      <c r="I22" s="15" t="e">
        <f>+I20-I21</f>
        <v>#REF!</v>
      </c>
      <c r="J22" s="15"/>
      <c r="K22" s="15"/>
    </row>
    <row r="23" spans="1:23" s="1" customFormat="1" ht="31.5" customHeight="1" x14ac:dyDescent="0.2">
      <c r="A23" s="255">
        <v>4</v>
      </c>
      <c r="B23" s="256" t="s">
        <v>49</v>
      </c>
      <c r="C23" s="255" t="s">
        <v>180</v>
      </c>
      <c r="D23" s="318">
        <v>421261</v>
      </c>
      <c r="E23" s="258">
        <f>'[1]Tưới đường'!$J$6</f>
        <v>863.78271999999981</v>
      </c>
      <c r="F23" s="318">
        <f t="shared" si="2"/>
        <v>363877972.40991992</v>
      </c>
      <c r="G23" s="296"/>
      <c r="H23" s="297" t="e">
        <f>F23-#REF!</f>
        <v>#REF!</v>
      </c>
      <c r="I23" s="297"/>
      <c r="J23" s="298"/>
      <c r="K23" s="33"/>
    </row>
    <row r="24" spans="1:23" s="1" customFormat="1" ht="35.25" customHeight="1" x14ac:dyDescent="0.2">
      <c r="A24" s="255">
        <v>5</v>
      </c>
      <c r="B24" s="256" t="s">
        <v>50</v>
      </c>
      <c r="C24" s="255" t="s">
        <v>180</v>
      </c>
      <c r="D24" s="318">
        <v>842522</v>
      </c>
      <c r="E24" s="258">
        <f>'[1]Tưới đường'!$J$18</f>
        <v>89.78098</v>
      </c>
      <c r="F24" s="318">
        <f t="shared" si="2"/>
        <v>75642450.831560001</v>
      </c>
      <c r="G24" s="296"/>
      <c r="H24" s="297"/>
      <c r="I24" s="297"/>
      <c r="J24" s="298"/>
      <c r="K24" s="33"/>
    </row>
    <row r="25" spans="1:23" s="284" customFormat="1" ht="31.5" customHeight="1" x14ac:dyDescent="0.2">
      <c r="A25" s="247" t="s">
        <v>51</v>
      </c>
      <c r="B25" s="248" t="s">
        <v>181</v>
      </c>
      <c r="C25" s="259"/>
      <c r="D25" s="260"/>
      <c r="E25" s="258"/>
      <c r="F25" s="261">
        <f>SUM(F26:F32)</f>
        <v>639527696.38203335</v>
      </c>
      <c r="G25" s="261"/>
      <c r="H25" s="299"/>
      <c r="I25" s="299"/>
      <c r="J25" s="283" t="e">
        <f>+#REF!+#REF!</f>
        <v>#REF!</v>
      </c>
    </row>
    <row r="26" spans="1:23" s="1" customFormat="1" ht="34.5" customHeight="1" x14ac:dyDescent="0.2">
      <c r="A26" s="249">
        <v>1</v>
      </c>
      <c r="B26" s="262" t="s">
        <v>53</v>
      </c>
      <c r="C26" s="263" t="s">
        <v>163</v>
      </c>
      <c r="D26" s="318">
        <v>54749</v>
      </c>
      <c r="E26" s="258">
        <f>'[1]Thảm cỏ'!$J$16</f>
        <v>3529.3894999999998</v>
      </c>
      <c r="F26" s="318">
        <f>D26*E26</f>
        <v>193230545.73549998</v>
      </c>
      <c r="G26" s="257"/>
      <c r="H26" s="224"/>
      <c r="I26" s="224"/>
      <c r="J26" s="280">
        <v>1168.1600000000001</v>
      </c>
      <c r="K26" s="1">
        <v>1168.1600000000001</v>
      </c>
      <c r="L26" s="1">
        <v>1168.1600000000001</v>
      </c>
      <c r="M26" s="1">
        <v>1168.1600000000001</v>
      </c>
      <c r="N26" s="1">
        <v>277232000</v>
      </c>
      <c r="O26" s="1">
        <v>69308000</v>
      </c>
      <c r="P26" s="1">
        <v>69308000</v>
      </c>
      <c r="Q26" s="1">
        <v>69308000</v>
      </c>
      <c r="R26" s="1">
        <v>69308000</v>
      </c>
      <c r="T26" s="1">
        <v>1168.1600000000001</v>
      </c>
      <c r="U26" s="1">
        <v>1168.1600000000001</v>
      </c>
      <c r="V26" s="1">
        <v>1168.1600000000001</v>
      </c>
      <c r="W26" s="1">
        <v>1168.1600000000001</v>
      </c>
    </row>
    <row r="27" spans="1:23" s="1" customFormat="1" ht="34.5" customHeight="1" x14ac:dyDescent="0.2">
      <c r="A27" s="249">
        <v>2</v>
      </c>
      <c r="B27" s="262" t="s">
        <v>54</v>
      </c>
      <c r="C27" s="263" t="s">
        <v>163</v>
      </c>
      <c r="D27" s="318">
        <v>190320</v>
      </c>
      <c r="E27" s="258">
        <f>'[1]Thảm cỏ'!$AU$16</f>
        <v>1085.9660000000001</v>
      </c>
      <c r="F27" s="318">
        <f t="shared" ref="F27:F29" si="3">D27*E27</f>
        <v>206681049.12000003</v>
      </c>
      <c r="G27" s="257"/>
      <c r="H27" s="224"/>
      <c r="I27" s="224"/>
      <c r="J27" s="280">
        <v>292.04149999999998</v>
      </c>
      <c r="K27" s="1">
        <v>292.04149999999998</v>
      </c>
      <c r="L27" s="1">
        <v>292.04149999999998</v>
      </c>
      <c r="M27" s="1">
        <v>292.04149999999998</v>
      </c>
      <c r="N27" s="1">
        <v>239892000</v>
      </c>
    </row>
    <row r="28" spans="1:23" s="1" customFormat="1" ht="33" customHeight="1" x14ac:dyDescent="0.2">
      <c r="A28" s="249">
        <v>3</v>
      </c>
      <c r="B28" s="262" t="s">
        <v>55</v>
      </c>
      <c r="C28" s="263" t="s">
        <v>163</v>
      </c>
      <c r="D28" s="318">
        <v>60114</v>
      </c>
      <c r="E28" s="258">
        <f>'[1]Thảm cỏ'!$AE$16</f>
        <v>542.98300000000006</v>
      </c>
      <c r="F28" s="318">
        <f t="shared" si="3"/>
        <v>32640880.062000003</v>
      </c>
      <c r="G28" s="257"/>
      <c r="H28" s="224"/>
      <c r="I28" s="224"/>
      <c r="J28" s="280">
        <v>292.04149999999998</v>
      </c>
      <c r="K28" s="1">
        <v>0</v>
      </c>
      <c r="L28" s="1">
        <v>292.04149999999998</v>
      </c>
      <c r="M28" s="1">
        <v>40550000</v>
      </c>
      <c r="N28" s="1">
        <v>40550000</v>
      </c>
      <c r="O28" s="1">
        <v>20275000</v>
      </c>
      <c r="P28" s="1">
        <v>0</v>
      </c>
      <c r="Q28" s="1">
        <v>20275000</v>
      </c>
    </row>
    <row r="29" spans="1:23" s="1" customFormat="1" ht="33" customHeight="1" x14ac:dyDescent="0.2">
      <c r="A29" s="328">
        <v>4</v>
      </c>
      <c r="B29" s="329" t="s">
        <v>56</v>
      </c>
      <c r="C29" s="330" t="s">
        <v>164</v>
      </c>
      <c r="D29" s="324">
        <v>5187880</v>
      </c>
      <c r="E29" s="331">
        <f>'[2]Hàng rào, đường viền'!$H$15</f>
        <v>9.5725733333333327</v>
      </c>
      <c r="F29" s="324">
        <f t="shared" si="3"/>
        <v>49661361.74453333</v>
      </c>
      <c r="G29" s="332"/>
      <c r="H29" s="224"/>
      <c r="I29" s="224"/>
      <c r="J29" s="280">
        <v>2.26031</v>
      </c>
      <c r="K29" s="1">
        <v>2.26031</v>
      </c>
      <c r="L29" s="1">
        <v>2.26031</v>
      </c>
      <c r="M29" s="1">
        <v>2.26031</v>
      </c>
      <c r="N29" s="1">
        <v>50696000</v>
      </c>
      <c r="O29" s="1">
        <v>12674000</v>
      </c>
    </row>
    <row r="30" spans="1:23" s="1" customFormat="1" ht="36.75" customHeight="1" x14ac:dyDescent="0.2">
      <c r="A30" s="328">
        <v>5</v>
      </c>
      <c r="B30" s="329" t="s">
        <v>160</v>
      </c>
      <c r="C30" s="330" t="s">
        <v>182</v>
      </c>
      <c r="D30" s="324">
        <v>16637352</v>
      </c>
      <c r="E30" s="331">
        <f>'[2]Hàng rào, đường viền'!$L$15</f>
        <v>4.3600000000000003</v>
      </c>
      <c r="F30" s="324">
        <f>D30*E30</f>
        <v>72538854.719999999</v>
      </c>
      <c r="G30" s="333"/>
      <c r="H30" s="224"/>
      <c r="I30" s="224"/>
      <c r="J30" s="280"/>
    </row>
    <row r="31" spans="1:23" s="1" customFormat="1" ht="32.25" customHeight="1" x14ac:dyDescent="0.2">
      <c r="A31" s="328">
        <v>6</v>
      </c>
      <c r="B31" s="329" t="s">
        <v>183</v>
      </c>
      <c r="C31" s="330" t="s">
        <v>184</v>
      </c>
      <c r="D31" s="324">
        <v>13471</v>
      </c>
      <c r="E31" s="331">
        <f>('[2]Cây xanh'!$D$23+'[2]Cây xanh'!$D$24)/2</f>
        <v>405</v>
      </c>
      <c r="F31" s="324">
        <f t="shared" ref="F31:F32" si="4">D31*E31</f>
        <v>5455755</v>
      </c>
      <c r="G31" s="367" t="s">
        <v>188</v>
      </c>
      <c r="H31" s="224"/>
      <c r="I31" s="224"/>
      <c r="J31" s="280"/>
    </row>
    <row r="32" spans="1:23" s="1" customFormat="1" ht="32.25" customHeight="1" x14ac:dyDescent="0.2">
      <c r="A32" s="328">
        <v>7</v>
      </c>
      <c r="B32" s="329" t="s">
        <v>189</v>
      </c>
      <c r="C32" s="330" t="s">
        <v>190</v>
      </c>
      <c r="D32" s="324">
        <v>195850</v>
      </c>
      <c r="E32" s="331">
        <f>E31</f>
        <v>405</v>
      </c>
      <c r="F32" s="324">
        <f t="shared" si="4"/>
        <v>79319250</v>
      </c>
      <c r="G32" s="368"/>
      <c r="H32" s="224"/>
      <c r="I32" s="224"/>
      <c r="J32" s="280"/>
    </row>
    <row r="33" spans="1:263" s="284" customFormat="1" ht="34.5" customHeight="1" x14ac:dyDescent="0.2">
      <c r="A33" s="264" t="s">
        <v>57</v>
      </c>
      <c r="B33" s="253" t="s">
        <v>58</v>
      </c>
      <c r="C33" s="265"/>
      <c r="D33" s="320"/>
      <c r="E33" s="258"/>
      <c r="F33" s="261">
        <f t="shared" ref="F33" si="5">SUM(F34:F34)</f>
        <v>168328160</v>
      </c>
      <c r="G33" s="261"/>
      <c r="H33" s="299"/>
      <c r="I33" s="299"/>
      <c r="J33" s="283" t="e">
        <f>#REF!+#REF!+#REF!</f>
        <v>#REF!</v>
      </c>
    </row>
    <row r="34" spans="1:263" s="284" customFormat="1" ht="42.75" customHeight="1" x14ac:dyDescent="0.2">
      <c r="A34" s="255">
        <v>1</v>
      </c>
      <c r="B34" s="266" t="s">
        <v>191</v>
      </c>
      <c r="C34" s="255" t="s">
        <v>185</v>
      </c>
      <c r="D34" s="323">
        <v>109304</v>
      </c>
      <c r="E34" s="258">
        <f>10*(182-28)</f>
        <v>1540</v>
      </c>
      <c r="F34" s="318">
        <f>D34*E34</f>
        <v>168328160</v>
      </c>
      <c r="G34" s="257"/>
      <c r="H34" s="325">
        <v>182.5</v>
      </c>
      <c r="I34" s="224"/>
      <c r="K34" s="283"/>
    </row>
    <row r="35" spans="1:263" s="284" customFormat="1" ht="30.75" customHeight="1" x14ac:dyDescent="0.2">
      <c r="A35" s="267" t="s">
        <v>18</v>
      </c>
      <c r="B35" s="268" t="s">
        <v>62</v>
      </c>
      <c r="C35" s="269"/>
      <c r="D35" s="269"/>
      <c r="E35" s="269"/>
      <c r="F35" s="320">
        <f>F36+F37</f>
        <v>4565501000</v>
      </c>
      <c r="G35" s="300"/>
      <c r="H35" s="301"/>
      <c r="I35" s="301" t="e">
        <f>+#REF!-#REF!</f>
        <v>#REF!</v>
      </c>
      <c r="J35" s="302" t="e">
        <f>+#REF!+#REF!</f>
        <v>#REF!</v>
      </c>
    </row>
    <row r="36" spans="1:263" s="284" customFormat="1" ht="27" customHeight="1" x14ac:dyDescent="0.2">
      <c r="A36" s="267" t="s">
        <v>38</v>
      </c>
      <c r="B36" s="268" t="s">
        <v>63</v>
      </c>
      <c r="C36" s="269"/>
      <c r="D36" s="269"/>
      <c r="E36" s="269"/>
      <c r="F36" s="321">
        <v>0</v>
      </c>
      <c r="G36" s="303"/>
      <c r="H36" s="304"/>
      <c r="I36" s="304"/>
    </row>
    <row r="37" spans="1:263" s="284" customFormat="1" ht="24.75" customHeight="1" x14ac:dyDescent="0.2">
      <c r="A37" s="267" t="s">
        <v>51</v>
      </c>
      <c r="B37" s="268" t="s">
        <v>64</v>
      </c>
      <c r="C37" s="269"/>
      <c r="D37" s="270"/>
      <c r="E37" s="270"/>
      <c r="F37" s="321">
        <f>F6-F36</f>
        <v>4565501000</v>
      </c>
      <c r="G37" s="300"/>
      <c r="H37" s="305"/>
      <c r="I37" s="305"/>
    </row>
    <row r="38" spans="1:263" s="1" customFormat="1" ht="24.75" customHeight="1" x14ac:dyDescent="0.2">
      <c r="A38" s="306"/>
      <c r="B38" s="271" t="s">
        <v>65</v>
      </c>
      <c r="C38" s="272"/>
      <c r="D38" s="273"/>
      <c r="E38" s="273"/>
      <c r="F38" s="274"/>
      <c r="G38" s="307"/>
      <c r="H38" s="308"/>
      <c r="I38" s="308"/>
    </row>
    <row r="39" spans="1:263" s="1" customFormat="1" ht="24.75" customHeight="1" x14ac:dyDescent="0.2">
      <c r="A39" s="306"/>
      <c r="B39" s="275" t="s">
        <v>66</v>
      </c>
      <c r="C39" s="272"/>
      <c r="D39" s="273"/>
      <c r="E39" s="273"/>
      <c r="F39" s="322">
        <f>F37</f>
        <v>4565501000</v>
      </c>
      <c r="G39" s="307"/>
      <c r="H39" s="308"/>
      <c r="I39" s="308"/>
    </row>
    <row r="40" spans="1:263" s="1" customFormat="1" ht="24.75" customHeight="1" x14ac:dyDescent="0.2">
      <c r="A40" s="309"/>
      <c r="B40" s="276" t="s">
        <v>67</v>
      </c>
      <c r="C40" s="277"/>
      <c r="D40" s="278"/>
      <c r="E40" s="278"/>
      <c r="F40" s="279"/>
      <c r="G40" s="310"/>
      <c r="H40" s="308"/>
      <c r="I40" s="308"/>
    </row>
    <row r="41" spans="1:263" s="1" customFormat="1" ht="15.75" customHeight="1" x14ac:dyDescent="0.2">
      <c r="A41" s="174"/>
      <c r="B41" s="174"/>
      <c r="C41" s="174"/>
      <c r="D41" s="174"/>
      <c r="E41" s="174"/>
      <c r="F41" s="174"/>
      <c r="G41" s="174"/>
      <c r="IJ41" s="291"/>
      <c r="IK41" s="291"/>
      <c r="IL41" s="291"/>
      <c r="IM41" s="291"/>
      <c r="IN41" s="291"/>
      <c r="IO41" s="291"/>
      <c r="IP41" s="291"/>
      <c r="IQ41" s="291"/>
      <c r="IR41" s="291"/>
      <c r="IS41" s="291"/>
      <c r="IT41" s="291"/>
      <c r="IU41" s="291"/>
      <c r="IV41" s="291"/>
      <c r="IW41" s="291"/>
      <c r="IX41" s="291"/>
      <c r="IY41" s="291"/>
      <c r="IZ41" s="291"/>
      <c r="JA41" s="291"/>
      <c r="JB41" s="291"/>
      <c r="JC41" s="291"/>
    </row>
    <row r="42" spans="1:263" s="284" customFormat="1" ht="15.75" customHeight="1" x14ac:dyDescent="0.2">
      <c r="B42" s="172"/>
      <c r="D42" s="362"/>
      <c r="E42" s="362"/>
      <c r="F42" s="362"/>
      <c r="G42" s="362"/>
      <c r="H42" s="282"/>
      <c r="I42" s="282"/>
    </row>
    <row r="43" spans="1:263" s="284" customFormat="1" ht="15.75" customHeight="1" x14ac:dyDescent="0.2">
      <c r="B43" s="172"/>
      <c r="E43" s="280" t="s">
        <v>165</v>
      </c>
      <c r="F43" s="363"/>
      <c r="G43" s="363"/>
      <c r="H43" s="283"/>
      <c r="I43" s="283"/>
    </row>
    <row r="44" spans="1:263" s="284" customFormat="1" ht="15.75" customHeight="1" x14ac:dyDescent="0.2">
      <c r="B44" s="172"/>
      <c r="E44" s="1" t="s">
        <v>166</v>
      </c>
      <c r="F44" s="364"/>
      <c r="G44" s="364"/>
    </row>
    <row r="45" spans="1:263" s="284" customFormat="1" ht="15.75" customHeight="1" x14ac:dyDescent="0.2">
      <c r="B45" s="172"/>
      <c r="E45" s="280" t="s">
        <v>167</v>
      </c>
    </row>
    <row r="46" spans="1:263" s="284" customFormat="1" ht="15.75" customHeight="1" x14ac:dyDescent="0.2">
      <c r="B46" s="172"/>
      <c r="E46" s="1" t="s">
        <v>168</v>
      </c>
    </row>
    <row r="47" spans="1:263" s="284" customFormat="1" ht="15.75" customHeight="1" x14ac:dyDescent="0.2">
      <c r="B47" s="172"/>
      <c r="E47" s="280" t="s">
        <v>169</v>
      </c>
    </row>
    <row r="48" spans="1:263" s="284" customFormat="1" ht="15.75" customHeight="1" x14ac:dyDescent="0.2">
      <c r="B48" s="172"/>
      <c r="E48" s="1" t="s">
        <v>170</v>
      </c>
    </row>
    <row r="49" spans="2:7" s="284" customFormat="1" ht="15.75" customHeight="1" x14ac:dyDescent="0.2">
      <c r="B49" s="172"/>
      <c r="E49" s="280" t="s">
        <v>171</v>
      </c>
    </row>
    <row r="50" spans="2:7" s="285" customFormat="1" ht="15.75" customHeight="1" x14ac:dyDescent="0.2">
      <c r="B50" s="173"/>
      <c r="E50" s="1" t="s">
        <v>172</v>
      </c>
      <c r="F50" s="365"/>
      <c r="G50" s="365"/>
    </row>
    <row r="51" spans="2:7" s="1" customFormat="1" ht="15.75" customHeight="1" x14ac:dyDescent="0.2">
      <c r="E51" s="280" t="s">
        <v>173</v>
      </c>
    </row>
    <row r="52" spans="2:7" ht="15.75" customHeight="1" x14ac:dyDescent="0.2">
      <c r="E52" s="1" t="s">
        <v>174</v>
      </c>
    </row>
    <row r="53" spans="2:7" ht="15.75" customHeight="1" x14ac:dyDescent="0.2">
      <c r="E53" s="280" t="s">
        <v>175</v>
      </c>
    </row>
    <row r="54" spans="2:7" ht="15.75" customHeight="1" x14ac:dyDescent="0.2">
      <c r="E54" s="1" t="s">
        <v>176</v>
      </c>
    </row>
  </sheetData>
  <mergeCells count="7">
    <mergeCell ref="D42:G42"/>
    <mergeCell ref="F43:G43"/>
    <mergeCell ref="F44:G44"/>
    <mergeCell ref="F50:G50"/>
    <mergeCell ref="A1:G1"/>
    <mergeCell ref="A2:G2"/>
    <mergeCell ref="G31:G32"/>
  </mergeCells>
  <printOptions horizontalCentered="1"/>
  <pageMargins left="0.25" right="0.25" top="0.5" bottom="0.5" header="0.5" footer="0.25"/>
  <pageSetup paperSize="9" scale="75"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H255"/>
  <sheetViews>
    <sheetView topLeftCell="A4" zoomScale="90" zoomScaleNormal="90" workbookViewId="0">
      <pane xSplit="2" ySplit="3" topLeftCell="C229" activePane="bottomRight" state="frozen"/>
      <selection activeCell="A4" sqref="A4"/>
      <selection pane="topRight" activeCell="C4" sqref="C4"/>
      <selection pane="bottomLeft" activeCell="A7" sqref="A7"/>
      <selection pane="bottomRight" activeCell="K230" sqref="K230"/>
    </sheetView>
  </sheetViews>
  <sheetFormatPr defaultColWidth="8" defaultRowHeight="15.75" customHeight="1" x14ac:dyDescent="0.2"/>
  <cols>
    <col min="1" max="1" width="5.42578125" style="1" customWidth="1"/>
    <col min="2" max="2" width="51.140625" style="1" customWidth="1"/>
    <col min="3" max="3" width="11.42578125" style="1" customWidth="1"/>
    <col min="4" max="5" width="12.42578125" style="1" customWidth="1"/>
    <col min="6" max="6" width="11.7109375" style="24" customWidth="1"/>
    <col min="7" max="7" width="17.5703125" style="24" hidden="1" customWidth="1"/>
    <col min="8" max="8" width="18" style="24" customWidth="1"/>
    <col min="9" max="9" width="16.42578125" style="24" customWidth="1"/>
    <col min="10" max="10" width="16.42578125" style="24" hidden="1" customWidth="1"/>
    <col min="11" max="11" width="16.42578125" style="24" customWidth="1"/>
    <col min="12" max="12" width="9" style="1" customWidth="1"/>
    <col min="13" max="13" width="17.85546875" style="1" customWidth="1"/>
    <col min="14" max="14" width="19" style="1" customWidth="1"/>
    <col min="15" max="15" width="18.7109375" style="1" customWidth="1"/>
    <col min="16" max="17" width="12.85546875" style="1" customWidth="1"/>
    <col min="18" max="248" width="9.140625" style="1" customWidth="1"/>
  </cols>
  <sheetData>
    <row r="1" spans="1:23" ht="41.25" customHeight="1" x14ac:dyDescent="0.2">
      <c r="A1" s="364" t="s">
        <v>151</v>
      </c>
      <c r="B1" s="364"/>
      <c r="C1" s="364"/>
      <c r="D1" s="364"/>
      <c r="E1" s="364"/>
      <c r="F1" s="364"/>
      <c r="G1" s="364"/>
      <c r="H1" s="364"/>
      <c r="I1" s="364"/>
      <c r="J1" s="364"/>
      <c r="K1" s="364"/>
      <c r="L1" s="364"/>
      <c r="M1" s="2"/>
      <c r="N1" s="2"/>
    </row>
    <row r="2" spans="1:23" ht="39.75" hidden="1" customHeight="1" x14ac:dyDescent="0.2">
      <c r="A2" s="369" t="s">
        <v>137</v>
      </c>
      <c r="B2" s="369"/>
      <c r="C2" s="369"/>
      <c r="D2" s="369"/>
      <c r="E2" s="369"/>
      <c r="F2" s="369"/>
      <c r="G2" s="369"/>
      <c r="H2" s="369"/>
      <c r="I2" s="369"/>
      <c r="J2" s="369"/>
      <c r="K2" s="369"/>
      <c r="L2" s="369"/>
      <c r="M2" s="182"/>
      <c r="N2" s="182"/>
    </row>
    <row r="3" spans="1:23" ht="10.5" customHeight="1" x14ac:dyDescent="0.2">
      <c r="A3" s="25"/>
      <c r="B3" s="25"/>
      <c r="C3" s="25"/>
      <c r="D3" s="25"/>
      <c r="E3" s="25"/>
      <c r="F3" s="25"/>
      <c r="G3" s="25"/>
      <c r="H3" s="25"/>
      <c r="I3" s="25"/>
      <c r="J3" s="25"/>
      <c r="K3" s="25"/>
      <c r="L3" s="185"/>
      <c r="M3" s="183"/>
      <c r="N3" s="183"/>
    </row>
    <row r="4" spans="1:23" ht="18" customHeight="1" x14ac:dyDescent="0.2">
      <c r="A4" s="370" t="s">
        <v>12</v>
      </c>
      <c r="B4" s="370" t="s">
        <v>72</v>
      </c>
      <c r="C4" s="370" t="s">
        <v>73</v>
      </c>
      <c r="D4" s="373" t="s">
        <v>16</v>
      </c>
      <c r="E4" s="373"/>
      <c r="F4" s="373" t="s">
        <v>138</v>
      </c>
      <c r="G4" s="373"/>
      <c r="H4" s="373"/>
      <c r="I4" s="373" t="s">
        <v>153</v>
      </c>
      <c r="J4" s="373"/>
      <c r="K4" s="373"/>
      <c r="L4" s="370" t="s">
        <v>15</v>
      </c>
      <c r="M4" s="51"/>
      <c r="N4" s="51"/>
      <c r="O4" s="80"/>
      <c r="P4" s="80"/>
      <c r="Q4" s="80"/>
      <c r="R4" s="80"/>
      <c r="S4" s="80"/>
      <c r="T4" s="80"/>
      <c r="U4" s="80"/>
      <c r="V4" s="80"/>
      <c r="W4" s="80"/>
    </row>
    <row r="5" spans="1:23" s="2" customFormat="1" ht="9" customHeight="1" x14ac:dyDescent="0.2">
      <c r="A5" s="371"/>
      <c r="B5" s="371"/>
      <c r="C5" s="371"/>
      <c r="D5" s="373"/>
      <c r="E5" s="373"/>
      <c r="F5" s="373"/>
      <c r="G5" s="373"/>
      <c r="H5" s="373"/>
      <c r="I5" s="373"/>
      <c r="J5" s="373"/>
      <c r="K5" s="373"/>
      <c r="L5" s="371"/>
      <c r="M5" s="51"/>
      <c r="N5" s="51"/>
      <c r="O5" s="184"/>
      <c r="P5" s="184"/>
      <c r="Q5" s="184"/>
      <c r="R5" s="184"/>
      <c r="S5" s="184"/>
      <c r="T5" s="184"/>
      <c r="U5" s="184"/>
      <c r="V5" s="184"/>
      <c r="W5" s="184"/>
    </row>
    <row r="6" spans="1:23" s="2" customFormat="1" ht="57" customHeight="1" x14ac:dyDescent="0.2">
      <c r="A6" s="372"/>
      <c r="B6" s="372"/>
      <c r="C6" s="372"/>
      <c r="D6" s="178" t="s">
        <v>139</v>
      </c>
      <c r="E6" s="178" t="s">
        <v>141</v>
      </c>
      <c r="F6" s="178" t="s">
        <v>139</v>
      </c>
      <c r="G6" s="178" t="s">
        <v>140</v>
      </c>
      <c r="H6" s="178" t="s">
        <v>150</v>
      </c>
      <c r="I6" s="178" t="s">
        <v>139</v>
      </c>
      <c r="J6" s="178" t="s">
        <v>140</v>
      </c>
      <c r="K6" s="178" t="s">
        <v>150</v>
      </c>
      <c r="L6" s="372"/>
      <c r="M6" s="51"/>
      <c r="N6" s="51"/>
      <c r="O6" s="184"/>
      <c r="P6" s="184"/>
      <c r="Q6" s="184"/>
      <c r="R6" s="184"/>
      <c r="S6" s="184"/>
      <c r="T6" s="184"/>
      <c r="U6" s="184"/>
      <c r="V6" s="184"/>
      <c r="W6" s="184"/>
    </row>
    <row r="7" spans="1:23" s="2" customFormat="1" ht="15.75" customHeight="1" x14ac:dyDescent="0.2">
      <c r="A7" s="52" t="s">
        <v>17</v>
      </c>
      <c r="B7" s="52" t="s">
        <v>18</v>
      </c>
      <c r="C7" s="52">
        <v>1</v>
      </c>
      <c r="D7" s="26">
        <v>2</v>
      </c>
      <c r="E7" s="26"/>
      <c r="F7" s="52">
        <v>5</v>
      </c>
      <c r="G7" s="52"/>
      <c r="H7" s="52"/>
      <c r="I7" s="52" t="s">
        <v>99</v>
      </c>
      <c r="J7" s="52"/>
      <c r="K7" s="52"/>
      <c r="L7" s="52">
        <v>11</v>
      </c>
      <c r="M7" s="186"/>
      <c r="N7" s="186"/>
      <c r="O7" s="184"/>
      <c r="P7" s="184"/>
      <c r="Q7" s="184"/>
      <c r="R7" s="184"/>
      <c r="S7" s="184"/>
      <c r="T7" s="184"/>
      <c r="U7" s="184"/>
      <c r="V7" s="184"/>
      <c r="W7" s="184"/>
    </row>
    <row r="8" spans="1:23" s="27" customFormat="1" ht="35.25" customHeight="1" x14ac:dyDescent="0.2">
      <c r="A8" s="113" t="s">
        <v>17</v>
      </c>
      <c r="B8" s="152" t="s">
        <v>20</v>
      </c>
      <c r="C8" s="114"/>
      <c r="D8" s="152"/>
      <c r="E8" s="152"/>
      <c r="F8" s="114"/>
      <c r="G8" s="114"/>
      <c r="H8" s="114"/>
      <c r="I8" s="115">
        <f>+I9+I47+I101</f>
        <v>258312000</v>
      </c>
      <c r="J8" s="115">
        <f>+J9+J47+J101</f>
        <v>206142000</v>
      </c>
      <c r="K8" s="115">
        <f>+K9+K47+K101</f>
        <v>206142000</v>
      </c>
      <c r="L8" s="155"/>
      <c r="M8" s="187"/>
      <c r="N8" s="187"/>
      <c r="O8" s="81"/>
      <c r="P8" s="81"/>
      <c r="Q8" s="81"/>
      <c r="R8" s="81"/>
      <c r="S8" s="81"/>
      <c r="T8" s="81"/>
      <c r="U8" s="81"/>
      <c r="V8" s="81"/>
      <c r="W8" s="81"/>
    </row>
    <row r="9" spans="1:23" s="27" customFormat="1" ht="28.5" customHeight="1" x14ac:dyDescent="0.2">
      <c r="A9" s="106" t="s">
        <v>104</v>
      </c>
      <c r="B9" s="107" t="s">
        <v>100</v>
      </c>
      <c r="C9" s="108"/>
      <c r="D9" s="107"/>
      <c r="E9" s="107"/>
      <c r="F9" s="108"/>
      <c r="G9" s="108"/>
      <c r="H9" s="108"/>
      <c r="I9" s="116">
        <f>+I10+I26+I37</f>
        <v>147048000</v>
      </c>
      <c r="J9" s="116">
        <f>+J10+J26+J37</f>
        <v>136002000</v>
      </c>
      <c r="K9" s="116">
        <f>+K10+K26+K37</f>
        <v>136002000</v>
      </c>
      <c r="L9" s="156"/>
      <c r="M9" s="188"/>
      <c r="N9" s="188"/>
      <c r="O9" s="81"/>
      <c r="P9" s="81"/>
      <c r="Q9" s="81"/>
      <c r="R9" s="81"/>
      <c r="S9" s="81"/>
      <c r="T9" s="81"/>
      <c r="U9" s="81"/>
      <c r="V9" s="81"/>
      <c r="W9" s="81"/>
    </row>
    <row r="10" spans="1:23" s="27" customFormat="1" ht="28.5" customHeight="1" x14ac:dyDescent="0.2">
      <c r="A10" s="106" t="s">
        <v>38</v>
      </c>
      <c r="B10" s="107" t="s">
        <v>8</v>
      </c>
      <c r="C10" s="108"/>
      <c r="D10" s="107"/>
      <c r="E10" s="107"/>
      <c r="F10" s="108"/>
      <c r="G10" s="108"/>
      <c r="H10" s="108"/>
      <c r="I10" s="116">
        <f>+I11+I16+I21</f>
        <v>98232000</v>
      </c>
      <c r="J10" s="116">
        <f>+J11+J16+J21</f>
        <v>103668000</v>
      </c>
      <c r="K10" s="116">
        <f>+K11+K16+K21</f>
        <v>103668000</v>
      </c>
      <c r="L10" s="156"/>
      <c r="M10" s="188"/>
      <c r="N10" s="188"/>
      <c r="O10" s="81"/>
      <c r="P10" s="81"/>
      <c r="Q10" s="81"/>
      <c r="R10" s="81"/>
      <c r="S10" s="81"/>
      <c r="T10" s="81"/>
      <c r="U10" s="81"/>
      <c r="V10" s="81"/>
      <c r="W10" s="81"/>
    </row>
    <row r="11" spans="1:23" s="29" customFormat="1" ht="22.5" customHeight="1" x14ac:dyDescent="0.2">
      <c r="A11" s="53">
        <v>1</v>
      </c>
      <c r="B11" s="7" t="s">
        <v>21</v>
      </c>
      <c r="C11" s="53" t="s">
        <v>22</v>
      </c>
      <c r="D11" s="6"/>
      <c r="E11" s="6"/>
      <c r="F11" s="83"/>
      <c r="G11" s="83"/>
      <c r="H11" s="83"/>
      <c r="I11" s="117">
        <f>SUM(I12:I15)</f>
        <v>33036000</v>
      </c>
      <c r="J11" s="117">
        <f>SUM(J12:J15)</f>
        <v>52656000</v>
      </c>
      <c r="K11" s="117">
        <f>SUM(K12:K15)</f>
        <v>52656000</v>
      </c>
      <c r="L11" s="157"/>
      <c r="M11" s="189"/>
      <c r="N11" s="189"/>
      <c r="O11" s="51"/>
      <c r="P11" s="51"/>
      <c r="Q11" s="51"/>
      <c r="R11" s="51"/>
      <c r="S11" s="51"/>
      <c r="T11" s="51"/>
      <c r="U11" s="51"/>
      <c r="V11" s="51"/>
      <c r="W11" s="51"/>
    </row>
    <row r="12" spans="1:23" s="29" customFormat="1" ht="22.5" customHeight="1" x14ac:dyDescent="0.2">
      <c r="A12" s="55" t="s">
        <v>23</v>
      </c>
      <c r="B12" s="56" t="s">
        <v>24</v>
      </c>
      <c r="C12" s="57" t="s">
        <v>22</v>
      </c>
      <c r="D12" s="132">
        <v>10000</v>
      </c>
      <c r="E12" s="132"/>
      <c r="F12" s="118">
        <v>200</v>
      </c>
      <c r="G12" s="118"/>
      <c r="H12" s="118"/>
      <c r="I12" s="118">
        <f>+D12*F12*12</f>
        <v>24000000</v>
      </c>
      <c r="J12" s="118"/>
      <c r="K12" s="118"/>
      <c r="L12" s="157"/>
      <c r="M12" s="189"/>
      <c r="N12" s="189"/>
      <c r="O12" s="51"/>
      <c r="P12" s="51"/>
      <c r="Q12" s="51"/>
      <c r="R12" s="51"/>
      <c r="S12" s="51"/>
      <c r="T12" s="51"/>
      <c r="U12" s="51"/>
      <c r="V12" s="51"/>
      <c r="W12" s="51"/>
    </row>
    <row r="13" spans="1:23" s="29" customFormat="1" ht="22.5" customHeight="1" x14ac:dyDescent="0.2">
      <c r="A13" s="55" t="s">
        <v>23</v>
      </c>
      <c r="B13" s="56" t="s">
        <v>25</v>
      </c>
      <c r="C13" s="57" t="s">
        <v>22</v>
      </c>
      <c r="D13" s="132">
        <v>13000</v>
      </c>
      <c r="E13" s="132"/>
      <c r="F13" s="118">
        <v>37</v>
      </c>
      <c r="G13" s="118"/>
      <c r="H13" s="118"/>
      <c r="I13" s="118">
        <f>+D13*F13*12</f>
        <v>5772000</v>
      </c>
      <c r="J13" s="118"/>
      <c r="K13" s="118"/>
      <c r="L13" s="157"/>
      <c r="M13" s="189"/>
      <c r="N13" s="189"/>
      <c r="O13" s="51"/>
      <c r="P13" s="51"/>
      <c r="Q13" s="51"/>
      <c r="R13" s="51"/>
      <c r="S13" s="51"/>
      <c r="T13" s="51"/>
      <c r="U13" s="51"/>
      <c r="V13" s="51"/>
      <c r="W13" s="51"/>
    </row>
    <row r="14" spans="1:23" s="29" customFormat="1" ht="22.5" customHeight="1" x14ac:dyDescent="0.2">
      <c r="A14" s="55" t="s">
        <v>23</v>
      </c>
      <c r="B14" s="56" t="s">
        <v>26</v>
      </c>
      <c r="C14" s="57" t="s">
        <v>22</v>
      </c>
      <c r="D14" s="132">
        <v>17000</v>
      </c>
      <c r="E14" s="132"/>
      <c r="F14" s="118">
        <v>16</v>
      </c>
      <c r="G14" s="118"/>
      <c r="H14" s="118"/>
      <c r="I14" s="118">
        <f>+D14*F14*12</f>
        <v>3264000</v>
      </c>
      <c r="J14" s="118"/>
      <c r="K14" s="118"/>
      <c r="L14" s="157"/>
      <c r="M14" s="189"/>
      <c r="N14" s="189"/>
      <c r="O14" s="51"/>
      <c r="P14" s="51"/>
      <c r="Q14" s="51"/>
      <c r="R14" s="51"/>
      <c r="S14" s="51"/>
      <c r="T14" s="51"/>
      <c r="U14" s="51"/>
      <c r="V14" s="51"/>
      <c r="W14" s="51"/>
    </row>
    <row r="15" spans="1:23" s="29" customFormat="1" ht="22.5" customHeight="1" x14ac:dyDescent="0.2">
      <c r="A15" s="8" t="s">
        <v>23</v>
      </c>
      <c r="B15" s="9" t="s">
        <v>142</v>
      </c>
      <c r="C15" s="10" t="s">
        <v>143</v>
      </c>
      <c r="D15" s="132"/>
      <c r="E15" s="132">
        <v>4000</v>
      </c>
      <c r="F15" s="118"/>
      <c r="G15" s="118">
        <f>+F12*4+F13*5+F14*7</f>
        <v>1097</v>
      </c>
      <c r="H15" s="118">
        <f>G15</f>
        <v>1097</v>
      </c>
      <c r="I15" s="118"/>
      <c r="J15" s="118">
        <f>E15*G15*12</f>
        <v>52656000</v>
      </c>
      <c r="K15" s="118">
        <f>E15*H15*12</f>
        <v>52656000</v>
      </c>
      <c r="L15" s="157"/>
      <c r="M15" s="189"/>
      <c r="N15" s="189"/>
      <c r="O15" s="51"/>
      <c r="P15" s="51"/>
      <c r="Q15" s="51"/>
      <c r="R15" s="51"/>
      <c r="S15" s="51"/>
      <c r="T15" s="51"/>
      <c r="U15" s="51"/>
      <c r="V15" s="51"/>
      <c r="W15" s="51"/>
    </row>
    <row r="16" spans="1:23" s="31" customFormat="1" ht="22.5" customHeight="1" x14ac:dyDescent="0.2">
      <c r="A16" s="53">
        <v>2</v>
      </c>
      <c r="B16" s="7" t="s">
        <v>27</v>
      </c>
      <c r="C16" s="53" t="s">
        <v>28</v>
      </c>
      <c r="D16" s="132"/>
      <c r="E16" s="132"/>
      <c r="F16" s="118"/>
      <c r="G16" s="118"/>
      <c r="H16" s="118"/>
      <c r="I16" s="117">
        <f>SUM(I17:I20)</f>
        <v>24984000</v>
      </c>
      <c r="J16" s="117">
        <f>SUM(J17:J20)</f>
        <v>22752000</v>
      </c>
      <c r="K16" s="117">
        <f>SUM(K17:K20)</f>
        <v>22752000</v>
      </c>
      <c r="L16" s="157"/>
      <c r="M16" s="189"/>
      <c r="N16" s="189"/>
      <c r="O16" s="84"/>
      <c r="P16" s="84"/>
      <c r="Q16" s="84"/>
      <c r="R16" s="84"/>
      <c r="S16" s="84"/>
      <c r="T16" s="84"/>
      <c r="U16" s="84"/>
      <c r="V16" s="84"/>
      <c r="W16" s="84"/>
    </row>
    <row r="17" spans="1:23" s="31" customFormat="1" ht="35.25" customHeight="1" x14ac:dyDescent="0.2">
      <c r="A17" s="55" t="s">
        <v>23</v>
      </c>
      <c r="B17" s="59" t="s">
        <v>29</v>
      </c>
      <c r="C17" s="57" t="s">
        <v>28</v>
      </c>
      <c r="D17" s="132">
        <v>29000</v>
      </c>
      <c r="E17" s="132"/>
      <c r="F17" s="118">
        <v>48</v>
      </c>
      <c r="G17" s="118"/>
      <c r="H17" s="118"/>
      <c r="I17" s="118">
        <f>+D17*F17*12</f>
        <v>16704000</v>
      </c>
      <c r="J17" s="118"/>
      <c r="K17" s="118"/>
      <c r="L17" s="157"/>
      <c r="M17" s="189"/>
      <c r="N17" s="189"/>
      <c r="O17" s="84"/>
      <c r="P17" s="84"/>
      <c r="Q17" s="84"/>
      <c r="R17" s="84"/>
      <c r="S17" s="84"/>
      <c r="T17" s="84"/>
      <c r="U17" s="84"/>
      <c r="V17" s="84"/>
      <c r="W17" s="84"/>
    </row>
    <row r="18" spans="1:23" s="31" customFormat="1" ht="36" customHeight="1" x14ac:dyDescent="0.2">
      <c r="A18" s="55" t="s">
        <v>23</v>
      </c>
      <c r="B18" s="59" t="s">
        <v>30</v>
      </c>
      <c r="C18" s="57" t="s">
        <v>28</v>
      </c>
      <c r="D18" s="132">
        <v>46000</v>
      </c>
      <c r="E18" s="132"/>
      <c r="F18" s="118">
        <v>15</v>
      </c>
      <c r="G18" s="118"/>
      <c r="H18" s="118"/>
      <c r="I18" s="118">
        <f>+D18*F18*12</f>
        <v>8280000</v>
      </c>
      <c r="J18" s="118"/>
      <c r="K18" s="118"/>
      <c r="L18" s="157"/>
      <c r="M18" s="189"/>
      <c r="N18" s="189"/>
      <c r="O18" s="84"/>
      <c r="P18" s="84"/>
      <c r="Q18" s="84"/>
      <c r="R18" s="84"/>
      <c r="S18" s="84"/>
      <c r="T18" s="84"/>
      <c r="U18" s="84"/>
      <c r="V18" s="84"/>
      <c r="W18" s="84"/>
    </row>
    <row r="19" spans="1:23" s="31" customFormat="1" ht="33.75" customHeight="1" x14ac:dyDescent="0.2">
      <c r="A19" s="8" t="s">
        <v>23</v>
      </c>
      <c r="B19" s="11" t="s">
        <v>144</v>
      </c>
      <c r="C19" s="10" t="s">
        <v>22</v>
      </c>
      <c r="D19" s="132"/>
      <c r="E19" s="132">
        <v>27000</v>
      </c>
      <c r="F19" s="118"/>
      <c r="G19" s="118">
        <f>F17</f>
        <v>48</v>
      </c>
      <c r="H19" s="118">
        <f>G19</f>
        <v>48</v>
      </c>
      <c r="I19" s="118"/>
      <c r="J19" s="118">
        <f>E19*G19*12</f>
        <v>15552000</v>
      </c>
      <c r="K19" s="118">
        <f>E19*H19*12</f>
        <v>15552000</v>
      </c>
      <c r="L19" s="157"/>
      <c r="M19" s="189"/>
      <c r="N19" s="189"/>
      <c r="O19" s="84"/>
      <c r="P19" s="84"/>
      <c r="Q19" s="84"/>
      <c r="R19" s="84"/>
      <c r="S19" s="84"/>
      <c r="T19" s="84"/>
      <c r="U19" s="84"/>
      <c r="V19" s="84"/>
      <c r="W19" s="84"/>
    </row>
    <row r="20" spans="1:23" s="31" customFormat="1" ht="33.75" customHeight="1" x14ac:dyDescent="0.2">
      <c r="A20" s="8" t="s">
        <v>23</v>
      </c>
      <c r="B20" s="11" t="s">
        <v>145</v>
      </c>
      <c r="C20" s="10" t="s">
        <v>22</v>
      </c>
      <c r="D20" s="132"/>
      <c r="E20" s="132">
        <v>40000</v>
      </c>
      <c r="F20" s="118"/>
      <c r="G20" s="118">
        <f>+F18</f>
        <v>15</v>
      </c>
      <c r="H20" s="118">
        <f>G20</f>
        <v>15</v>
      </c>
      <c r="I20" s="118"/>
      <c r="J20" s="118">
        <f>E20*G20*12</f>
        <v>7200000</v>
      </c>
      <c r="K20" s="118">
        <f>E20*H20*12</f>
        <v>7200000</v>
      </c>
      <c r="L20" s="157"/>
      <c r="M20" s="189"/>
      <c r="N20" s="189"/>
      <c r="O20" s="84"/>
      <c r="P20" s="84"/>
      <c r="Q20" s="84"/>
      <c r="R20" s="84"/>
      <c r="S20" s="84"/>
      <c r="T20" s="84"/>
      <c r="U20" s="84"/>
      <c r="V20" s="84"/>
      <c r="W20" s="84"/>
    </row>
    <row r="21" spans="1:23" s="31" customFormat="1" ht="26.25" customHeight="1" x14ac:dyDescent="0.2">
      <c r="A21" s="53">
        <v>3</v>
      </c>
      <c r="B21" s="7" t="s">
        <v>31</v>
      </c>
      <c r="C21" s="53" t="s">
        <v>32</v>
      </c>
      <c r="D21" s="132"/>
      <c r="E21" s="132"/>
      <c r="F21" s="118"/>
      <c r="G21" s="118"/>
      <c r="H21" s="118"/>
      <c r="I21" s="117">
        <f t="shared" ref="I21:K21" si="0">SUM(I22:I25)</f>
        <v>40212000</v>
      </c>
      <c r="J21" s="117">
        <f t="shared" si="0"/>
        <v>28260000</v>
      </c>
      <c r="K21" s="117">
        <f t="shared" si="0"/>
        <v>28260000</v>
      </c>
      <c r="L21" s="157"/>
      <c r="M21" s="189"/>
      <c r="N21" s="189"/>
      <c r="O21" s="84"/>
      <c r="P21" s="84"/>
      <c r="Q21" s="84"/>
      <c r="R21" s="84"/>
      <c r="S21" s="84"/>
      <c r="T21" s="84"/>
      <c r="U21" s="84"/>
      <c r="V21" s="84"/>
      <c r="W21" s="84"/>
    </row>
    <row r="22" spans="1:23" s="31" customFormat="1" ht="26.25" customHeight="1" x14ac:dyDescent="0.2">
      <c r="A22" s="55" t="s">
        <v>23</v>
      </c>
      <c r="B22" s="59" t="s">
        <v>33</v>
      </c>
      <c r="C22" s="57" t="s">
        <v>32</v>
      </c>
      <c r="D22" s="132">
        <v>44000</v>
      </c>
      <c r="E22" s="132">
        <v>28000</v>
      </c>
      <c r="F22" s="118">
        <v>39</v>
      </c>
      <c r="G22" s="118">
        <f>+F22</f>
        <v>39</v>
      </c>
      <c r="H22" s="118">
        <f>G22</f>
        <v>39</v>
      </c>
      <c r="I22" s="118">
        <f>+D22*F22*12</f>
        <v>20592000</v>
      </c>
      <c r="J22" s="118">
        <f>E22*G22*12</f>
        <v>13104000</v>
      </c>
      <c r="K22" s="118">
        <f>E22*H22*12</f>
        <v>13104000</v>
      </c>
      <c r="L22" s="157"/>
      <c r="M22" s="189"/>
      <c r="N22" s="189"/>
      <c r="O22" s="84"/>
      <c r="P22" s="84"/>
      <c r="Q22" s="84"/>
      <c r="R22" s="84"/>
      <c r="S22" s="84"/>
      <c r="T22" s="84"/>
      <c r="U22" s="84"/>
      <c r="V22" s="84"/>
      <c r="W22" s="84"/>
    </row>
    <row r="23" spans="1:23" s="31" customFormat="1" ht="26.25" customHeight="1" x14ac:dyDescent="0.2">
      <c r="A23" s="55" t="s">
        <v>23</v>
      </c>
      <c r="B23" s="59" t="s">
        <v>34</v>
      </c>
      <c r="C23" s="57" t="s">
        <v>32</v>
      </c>
      <c r="D23" s="132">
        <v>165000</v>
      </c>
      <c r="E23" s="132">
        <v>104000</v>
      </c>
      <c r="F23" s="118">
        <v>5</v>
      </c>
      <c r="G23" s="118">
        <f>+F23</f>
        <v>5</v>
      </c>
      <c r="H23" s="118">
        <f t="shared" ref="H23:H25" si="1">G23</f>
        <v>5</v>
      </c>
      <c r="I23" s="118">
        <f>+D23*F23*12</f>
        <v>9900000</v>
      </c>
      <c r="J23" s="118">
        <f t="shared" ref="J23:J25" si="2">E23*G23*12</f>
        <v>6240000</v>
      </c>
      <c r="K23" s="118">
        <f t="shared" ref="K23:K25" si="3">E23*H23*12</f>
        <v>6240000</v>
      </c>
      <c r="L23" s="157"/>
      <c r="M23" s="189"/>
      <c r="N23" s="189"/>
      <c r="O23" s="84"/>
      <c r="P23" s="84"/>
      <c r="Q23" s="84"/>
      <c r="R23" s="84"/>
      <c r="S23" s="84"/>
      <c r="T23" s="84"/>
      <c r="U23" s="84"/>
      <c r="V23" s="84"/>
      <c r="W23" s="84"/>
    </row>
    <row r="24" spans="1:23" s="31" customFormat="1" ht="26.25" customHeight="1" x14ac:dyDescent="0.2">
      <c r="A24" s="55" t="s">
        <v>23</v>
      </c>
      <c r="B24" s="59" t="s">
        <v>35</v>
      </c>
      <c r="C24" s="57" t="s">
        <v>32</v>
      </c>
      <c r="D24" s="132">
        <v>315000</v>
      </c>
      <c r="E24" s="132">
        <v>292000</v>
      </c>
      <c r="F24" s="118">
        <v>1</v>
      </c>
      <c r="G24" s="118">
        <f>+F24</f>
        <v>1</v>
      </c>
      <c r="H24" s="118">
        <f t="shared" si="1"/>
        <v>1</v>
      </c>
      <c r="I24" s="118">
        <f>+D24*F24*12</f>
        <v>3780000</v>
      </c>
      <c r="J24" s="118">
        <f t="shared" si="2"/>
        <v>3504000</v>
      </c>
      <c r="K24" s="118">
        <f t="shared" si="3"/>
        <v>3504000</v>
      </c>
      <c r="L24" s="157"/>
      <c r="M24" s="189"/>
      <c r="N24" s="189"/>
      <c r="O24" s="84"/>
      <c r="P24" s="84"/>
      <c r="Q24" s="84"/>
      <c r="R24" s="84"/>
      <c r="S24" s="84"/>
      <c r="T24" s="84"/>
      <c r="U24" s="84"/>
      <c r="V24" s="84"/>
      <c r="W24" s="84"/>
    </row>
    <row r="25" spans="1:23" s="31" customFormat="1" ht="26.25" customHeight="1" x14ac:dyDescent="0.2">
      <c r="A25" s="55" t="s">
        <v>23</v>
      </c>
      <c r="B25" s="59" t="s">
        <v>36</v>
      </c>
      <c r="C25" s="57" t="s">
        <v>32</v>
      </c>
      <c r="D25" s="132">
        <v>495000</v>
      </c>
      <c r="E25" s="132">
        <v>451000</v>
      </c>
      <c r="F25" s="118">
        <v>1</v>
      </c>
      <c r="G25" s="118">
        <f>+F25</f>
        <v>1</v>
      </c>
      <c r="H25" s="118">
        <f t="shared" si="1"/>
        <v>1</v>
      </c>
      <c r="I25" s="118">
        <f>+D25*F25*12</f>
        <v>5940000</v>
      </c>
      <c r="J25" s="118">
        <f t="shared" si="2"/>
        <v>5412000</v>
      </c>
      <c r="K25" s="118">
        <f t="shared" si="3"/>
        <v>5412000</v>
      </c>
      <c r="L25" s="157"/>
      <c r="M25" s="189"/>
      <c r="N25" s="189"/>
      <c r="O25" s="84"/>
      <c r="P25" s="84"/>
      <c r="Q25" s="84"/>
      <c r="R25" s="84"/>
      <c r="S25" s="84"/>
      <c r="T25" s="84"/>
      <c r="U25" s="84"/>
      <c r="V25" s="84"/>
      <c r="W25" s="84"/>
    </row>
    <row r="26" spans="1:23" s="31" customFormat="1" ht="26.25" customHeight="1" x14ac:dyDescent="0.2">
      <c r="A26" s="103" t="s">
        <v>51</v>
      </c>
      <c r="B26" s="104" t="s">
        <v>1</v>
      </c>
      <c r="C26" s="105"/>
      <c r="D26" s="130"/>
      <c r="E26" s="130"/>
      <c r="F26" s="119"/>
      <c r="G26" s="119"/>
      <c r="H26" s="119"/>
      <c r="I26" s="119">
        <f>+I27+I32+I35</f>
        <v>16476000</v>
      </c>
      <c r="J26" s="119">
        <f>+J27+J32+J35</f>
        <v>10680000</v>
      </c>
      <c r="K26" s="119">
        <f>+K27+K32+K35</f>
        <v>10680000</v>
      </c>
      <c r="L26" s="158"/>
      <c r="M26" s="190"/>
      <c r="N26" s="190"/>
      <c r="O26" s="84"/>
      <c r="P26" s="84"/>
      <c r="Q26" s="84"/>
      <c r="R26" s="84"/>
      <c r="S26" s="84"/>
      <c r="T26" s="84"/>
      <c r="U26" s="84"/>
      <c r="V26" s="84"/>
      <c r="W26" s="84"/>
    </row>
    <row r="27" spans="1:23" s="29" customFormat="1" ht="22.5" customHeight="1" x14ac:dyDescent="0.2">
      <c r="A27" s="53">
        <v>1</v>
      </c>
      <c r="B27" s="54" t="s">
        <v>21</v>
      </c>
      <c r="C27" s="53" t="s">
        <v>22</v>
      </c>
      <c r="D27" s="132"/>
      <c r="E27" s="132"/>
      <c r="F27" s="134"/>
      <c r="G27" s="134"/>
      <c r="H27" s="134"/>
      <c r="I27" s="117">
        <f>SUM(I28:I31)</f>
        <v>9084000</v>
      </c>
      <c r="J27" s="117">
        <f>SUM(J28:J31)</f>
        <v>5616000</v>
      </c>
      <c r="K27" s="117">
        <f>SUM(K28:K31)</f>
        <v>5616000</v>
      </c>
      <c r="L27" s="157"/>
      <c r="M27" s="189"/>
      <c r="N27" s="189"/>
      <c r="O27" s="51"/>
    </row>
    <row r="28" spans="1:23" s="29" customFormat="1" ht="22.5" customHeight="1" x14ac:dyDescent="0.2">
      <c r="A28" s="55" t="s">
        <v>23</v>
      </c>
      <c r="B28" s="56" t="s">
        <v>24</v>
      </c>
      <c r="C28" s="57" t="s">
        <v>22</v>
      </c>
      <c r="D28" s="132">
        <v>10000</v>
      </c>
      <c r="E28" s="132"/>
      <c r="F28" s="118">
        <v>58</v>
      </c>
      <c r="G28" s="118"/>
      <c r="H28" s="118"/>
      <c r="I28" s="118">
        <f>+D28*F28*12</f>
        <v>6960000</v>
      </c>
      <c r="J28" s="118"/>
      <c r="K28" s="118"/>
      <c r="L28" s="157"/>
      <c r="M28" s="189"/>
      <c r="N28" s="189"/>
      <c r="O28" s="58"/>
    </row>
    <row r="29" spans="1:23" s="29" customFormat="1" ht="22.5" customHeight="1" x14ac:dyDescent="0.2">
      <c r="A29" s="55" t="s">
        <v>23</v>
      </c>
      <c r="B29" s="56" t="s">
        <v>25</v>
      </c>
      <c r="C29" s="57" t="s">
        <v>22</v>
      </c>
      <c r="D29" s="132">
        <v>13000</v>
      </c>
      <c r="E29" s="132"/>
      <c r="F29" s="118">
        <v>11</v>
      </c>
      <c r="G29" s="118"/>
      <c r="H29" s="118"/>
      <c r="I29" s="118">
        <f>+D29*F29*12</f>
        <v>1716000</v>
      </c>
      <c r="J29" s="118"/>
      <c r="K29" s="118"/>
      <c r="L29" s="157"/>
      <c r="M29" s="189"/>
      <c r="N29" s="189"/>
      <c r="O29" s="58"/>
    </row>
    <row r="30" spans="1:23" s="29" customFormat="1" ht="22.5" customHeight="1" x14ac:dyDescent="0.2">
      <c r="A30" s="55" t="s">
        <v>23</v>
      </c>
      <c r="B30" s="56" t="s">
        <v>26</v>
      </c>
      <c r="C30" s="57" t="s">
        <v>22</v>
      </c>
      <c r="D30" s="132">
        <v>17000</v>
      </c>
      <c r="E30" s="132"/>
      <c r="F30" s="118">
        <v>2</v>
      </c>
      <c r="G30" s="118"/>
      <c r="H30" s="118"/>
      <c r="I30" s="118">
        <f>+D30*F30*12</f>
        <v>408000</v>
      </c>
      <c r="J30" s="118"/>
      <c r="K30" s="118"/>
      <c r="L30" s="157"/>
      <c r="M30" s="189"/>
      <c r="N30" s="189"/>
      <c r="O30" s="51"/>
    </row>
    <row r="31" spans="1:23" s="29" customFormat="1" ht="22.5" customHeight="1" x14ac:dyDescent="0.2">
      <c r="A31" s="8" t="s">
        <v>23</v>
      </c>
      <c r="B31" s="9" t="s">
        <v>142</v>
      </c>
      <c r="C31" s="10" t="s">
        <v>143</v>
      </c>
      <c r="D31" s="132"/>
      <c r="E31" s="132">
        <v>1500</v>
      </c>
      <c r="F31" s="118"/>
      <c r="G31" s="118">
        <f>+F28*4+F29*6+F30*7</f>
        <v>312</v>
      </c>
      <c r="H31" s="118">
        <f>G31</f>
        <v>312</v>
      </c>
      <c r="I31" s="118"/>
      <c r="J31" s="118">
        <f>E31*G31*12</f>
        <v>5616000</v>
      </c>
      <c r="K31" s="118">
        <f>E31*H31*12</f>
        <v>5616000</v>
      </c>
      <c r="L31" s="157"/>
      <c r="M31" s="189"/>
      <c r="N31" s="189"/>
      <c r="O31" s="51"/>
    </row>
    <row r="32" spans="1:23" s="31" customFormat="1" ht="22.5" customHeight="1" x14ac:dyDescent="0.2">
      <c r="A32" s="53">
        <v>2</v>
      </c>
      <c r="B32" s="54" t="s">
        <v>27</v>
      </c>
      <c r="C32" s="53" t="s">
        <v>28</v>
      </c>
      <c r="D32" s="132"/>
      <c r="E32" s="132"/>
      <c r="F32" s="118"/>
      <c r="G32" s="118"/>
      <c r="H32" s="118"/>
      <c r="I32" s="117">
        <f t="shared" ref="I32:K32" si="4">SUM(I33:I34)</f>
        <v>5280000</v>
      </c>
      <c r="J32" s="117">
        <f t="shared" si="4"/>
        <v>3960000</v>
      </c>
      <c r="K32" s="117">
        <f t="shared" si="4"/>
        <v>3960000</v>
      </c>
      <c r="L32" s="157"/>
      <c r="M32" s="189"/>
      <c r="N32" s="189"/>
      <c r="O32" s="51"/>
    </row>
    <row r="33" spans="1:15" s="31" customFormat="1" ht="33.75" customHeight="1" x14ac:dyDescent="0.2">
      <c r="A33" s="55" t="s">
        <v>23</v>
      </c>
      <c r="B33" s="59" t="s">
        <v>29</v>
      </c>
      <c r="C33" s="57" t="s">
        <v>28</v>
      </c>
      <c r="D33" s="132">
        <v>29000</v>
      </c>
      <c r="E33" s="132">
        <v>22000</v>
      </c>
      <c r="F33" s="118">
        <v>12</v>
      </c>
      <c r="G33" s="118">
        <f>+F33</f>
        <v>12</v>
      </c>
      <c r="H33" s="118">
        <f>G33</f>
        <v>12</v>
      </c>
      <c r="I33" s="118">
        <f>+D33*F33*12</f>
        <v>4176000</v>
      </c>
      <c r="J33" s="118">
        <f>E33*G33*12</f>
        <v>3168000</v>
      </c>
      <c r="K33" s="118">
        <f>E33*H33*12</f>
        <v>3168000</v>
      </c>
      <c r="L33" s="157"/>
      <c r="M33" s="189"/>
      <c r="N33" s="189"/>
      <c r="O33" s="58"/>
    </row>
    <row r="34" spans="1:15" s="31" customFormat="1" ht="32.25" customHeight="1" x14ac:dyDescent="0.2">
      <c r="A34" s="55" t="s">
        <v>23</v>
      </c>
      <c r="B34" s="59" t="s">
        <v>30</v>
      </c>
      <c r="C34" s="57" t="s">
        <v>28</v>
      </c>
      <c r="D34" s="132">
        <v>46000</v>
      </c>
      <c r="E34" s="132">
        <v>33000</v>
      </c>
      <c r="F34" s="118">
        <v>2</v>
      </c>
      <c r="G34" s="118">
        <f>+F34</f>
        <v>2</v>
      </c>
      <c r="H34" s="118">
        <f>G34</f>
        <v>2</v>
      </c>
      <c r="I34" s="118">
        <f>+D34*F34*12</f>
        <v>1104000</v>
      </c>
      <c r="J34" s="118">
        <f>E34*G34*12</f>
        <v>792000</v>
      </c>
      <c r="K34" s="118">
        <f>E34*H34*12</f>
        <v>792000</v>
      </c>
      <c r="L34" s="157"/>
      <c r="M34" s="189"/>
      <c r="N34" s="189"/>
      <c r="O34" s="58"/>
    </row>
    <row r="35" spans="1:15" s="31" customFormat="1" ht="26.25" customHeight="1" x14ac:dyDescent="0.2">
      <c r="A35" s="53">
        <v>3</v>
      </c>
      <c r="B35" s="54" t="s">
        <v>31</v>
      </c>
      <c r="C35" s="53" t="s">
        <v>32</v>
      </c>
      <c r="D35" s="132"/>
      <c r="E35" s="132"/>
      <c r="F35" s="118"/>
      <c r="G35" s="118"/>
      <c r="H35" s="118"/>
      <c r="I35" s="117">
        <f t="shared" ref="I35:K35" si="5">SUM(I36)</f>
        <v>2112000</v>
      </c>
      <c r="J35" s="117">
        <f t="shared" si="5"/>
        <v>1104000</v>
      </c>
      <c r="K35" s="117">
        <f t="shared" si="5"/>
        <v>1104000</v>
      </c>
      <c r="L35" s="157"/>
      <c r="M35" s="189"/>
      <c r="N35" s="189"/>
      <c r="O35" s="51"/>
    </row>
    <row r="36" spans="1:15" s="31" customFormat="1" ht="26.25" customHeight="1" x14ac:dyDescent="0.2">
      <c r="A36" s="55" t="s">
        <v>23</v>
      </c>
      <c r="B36" s="59" t="s">
        <v>33</v>
      </c>
      <c r="C36" s="57" t="s">
        <v>32</v>
      </c>
      <c r="D36" s="132">
        <v>44000</v>
      </c>
      <c r="E36" s="132">
        <v>23000</v>
      </c>
      <c r="F36" s="118">
        <v>4</v>
      </c>
      <c r="G36" s="118">
        <f>+F36</f>
        <v>4</v>
      </c>
      <c r="H36" s="118">
        <f>G36</f>
        <v>4</v>
      </c>
      <c r="I36" s="118">
        <f>+D36*F36*12</f>
        <v>2112000</v>
      </c>
      <c r="J36" s="118">
        <f>E36*G36*12</f>
        <v>1104000</v>
      </c>
      <c r="K36" s="118">
        <f>E36*H36*12</f>
        <v>1104000</v>
      </c>
      <c r="L36" s="157"/>
      <c r="M36" s="189"/>
      <c r="N36" s="189"/>
      <c r="O36" s="58"/>
    </row>
    <row r="37" spans="1:15" s="31" customFormat="1" ht="26.25" customHeight="1" x14ac:dyDescent="0.2">
      <c r="A37" s="103" t="s">
        <v>57</v>
      </c>
      <c r="B37" s="104" t="s">
        <v>2</v>
      </c>
      <c r="C37" s="105"/>
      <c r="D37" s="130"/>
      <c r="E37" s="130"/>
      <c r="F37" s="119"/>
      <c r="G37" s="119"/>
      <c r="H37" s="119"/>
      <c r="I37" s="119">
        <f>+I38+I43+I45</f>
        <v>32340000</v>
      </c>
      <c r="J37" s="119">
        <f>+J38+J43+J45</f>
        <v>21654000</v>
      </c>
      <c r="K37" s="119">
        <f>+K38+K43+K45</f>
        <v>21654000</v>
      </c>
      <c r="L37" s="158"/>
      <c r="M37" s="190"/>
      <c r="N37" s="190"/>
      <c r="O37" s="30"/>
    </row>
    <row r="38" spans="1:15" s="30" customFormat="1" ht="26.25" customHeight="1" x14ac:dyDescent="0.2">
      <c r="A38" s="6">
        <v>1</v>
      </c>
      <c r="B38" s="7" t="s">
        <v>21</v>
      </c>
      <c r="C38" s="6" t="s">
        <v>22</v>
      </c>
      <c r="D38" s="131"/>
      <c r="E38" s="131"/>
      <c r="F38" s="134"/>
      <c r="G38" s="134"/>
      <c r="H38" s="134"/>
      <c r="I38" s="117">
        <f>SUM(I39:I42)</f>
        <v>16308000</v>
      </c>
      <c r="J38" s="117">
        <f>SUM(J39:J42)</f>
        <v>9990000</v>
      </c>
      <c r="K38" s="117">
        <f>SUM(K39:K42)</f>
        <v>9990000</v>
      </c>
      <c r="L38" s="157"/>
      <c r="M38" s="189"/>
      <c r="N38" s="189"/>
    </row>
    <row r="39" spans="1:15" s="30" customFormat="1" ht="26.25" customHeight="1" x14ac:dyDescent="0.2">
      <c r="A39" s="8" t="s">
        <v>23</v>
      </c>
      <c r="B39" s="9" t="s">
        <v>24</v>
      </c>
      <c r="C39" s="10" t="s">
        <v>22</v>
      </c>
      <c r="D39" s="132">
        <v>10000</v>
      </c>
      <c r="E39" s="132"/>
      <c r="F39" s="120">
        <v>116</v>
      </c>
      <c r="G39" s="120"/>
      <c r="H39" s="120"/>
      <c r="I39" s="120">
        <f>+D39*F39*12</f>
        <v>13920000</v>
      </c>
      <c r="J39" s="120"/>
      <c r="K39" s="120"/>
      <c r="L39" s="157"/>
      <c r="M39" s="189"/>
      <c r="N39" s="189"/>
    </row>
    <row r="40" spans="1:15" s="30" customFormat="1" ht="26.25" customHeight="1" x14ac:dyDescent="0.2">
      <c r="A40" s="8" t="s">
        <v>23</v>
      </c>
      <c r="B40" s="9" t="s">
        <v>25</v>
      </c>
      <c r="C40" s="10" t="s">
        <v>22</v>
      </c>
      <c r="D40" s="132">
        <v>13000</v>
      </c>
      <c r="E40" s="132"/>
      <c r="F40" s="120">
        <v>14</v>
      </c>
      <c r="G40" s="120"/>
      <c r="H40" s="120"/>
      <c r="I40" s="120">
        <f>+D40*F40*12</f>
        <v>2184000</v>
      </c>
      <c r="J40" s="120"/>
      <c r="K40" s="120"/>
      <c r="L40" s="157"/>
      <c r="M40" s="189"/>
      <c r="N40" s="189"/>
    </row>
    <row r="41" spans="1:15" s="30" customFormat="1" ht="26.25" customHeight="1" x14ac:dyDescent="0.2">
      <c r="A41" s="8" t="s">
        <v>23</v>
      </c>
      <c r="B41" s="9" t="s">
        <v>26</v>
      </c>
      <c r="C41" s="10" t="s">
        <v>22</v>
      </c>
      <c r="D41" s="132">
        <v>17000</v>
      </c>
      <c r="E41" s="132"/>
      <c r="F41" s="120">
        <v>1</v>
      </c>
      <c r="G41" s="120"/>
      <c r="H41" s="120"/>
      <c r="I41" s="120">
        <f>+D41*F41*12</f>
        <v>204000</v>
      </c>
      <c r="J41" s="120"/>
      <c r="K41" s="120"/>
      <c r="L41" s="157"/>
      <c r="M41" s="189"/>
      <c r="N41" s="189"/>
    </row>
    <row r="42" spans="1:15" s="30" customFormat="1" ht="26.25" customHeight="1" x14ac:dyDescent="0.2">
      <c r="A42" s="8" t="s">
        <v>23</v>
      </c>
      <c r="B42" s="9" t="s">
        <v>142</v>
      </c>
      <c r="C42" s="10" t="s">
        <v>143</v>
      </c>
      <c r="D42" s="132"/>
      <c r="E42" s="132">
        <v>1500</v>
      </c>
      <c r="F42" s="120"/>
      <c r="G42" s="120">
        <f>+F39*4+F40*6+F41*7</f>
        <v>555</v>
      </c>
      <c r="H42" s="120">
        <f>G42</f>
        <v>555</v>
      </c>
      <c r="I42" s="120"/>
      <c r="J42" s="120">
        <f>E42*G42*12</f>
        <v>9990000</v>
      </c>
      <c r="K42" s="120">
        <f>E42*H42*12</f>
        <v>9990000</v>
      </c>
      <c r="L42" s="157"/>
      <c r="M42" s="189"/>
      <c r="N42" s="189"/>
    </row>
    <row r="43" spans="1:15" s="32" customFormat="1" ht="26.25" customHeight="1" x14ac:dyDescent="0.2">
      <c r="A43" s="6">
        <v>2</v>
      </c>
      <c r="B43" s="7" t="s">
        <v>27</v>
      </c>
      <c r="C43" s="6" t="s">
        <v>28</v>
      </c>
      <c r="D43" s="132"/>
      <c r="E43" s="132"/>
      <c r="F43" s="120"/>
      <c r="G43" s="120"/>
      <c r="H43" s="120"/>
      <c r="I43" s="117">
        <f t="shared" ref="I43:K43" si="6">+I44</f>
        <v>13920000</v>
      </c>
      <c r="J43" s="117">
        <f t="shared" si="6"/>
        <v>10560000</v>
      </c>
      <c r="K43" s="117">
        <f t="shared" si="6"/>
        <v>10560000</v>
      </c>
      <c r="L43" s="157"/>
      <c r="M43" s="189"/>
      <c r="N43" s="189"/>
    </row>
    <row r="44" spans="1:15" s="32" customFormat="1" ht="35.25" customHeight="1" x14ac:dyDescent="0.2">
      <c r="A44" s="8" t="s">
        <v>23</v>
      </c>
      <c r="B44" s="11" t="s">
        <v>29</v>
      </c>
      <c r="C44" s="10" t="s">
        <v>28</v>
      </c>
      <c r="D44" s="132">
        <v>29000</v>
      </c>
      <c r="E44" s="132">
        <v>22000</v>
      </c>
      <c r="F44" s="120">
        <v>40</v>
      </c>
      <c r="G44" s="120">
        <f>+F44</f>
        <v>40</v>
      </c>
      <c r="H44" s="120">
        <f>G44</f>
        <v>40</v>
      </c>
      <c r="I44" s="120">
        <f>+D44*F44*12</f>
        <v>13920000</v>
      </c>
      <c r="J44" s="120">
        <f>E44*G44*12</f>
        <v>10560000</v>
      </c>
      <c r="K44" s="120">
        <f>E44*H44*12</f>
        <v>10560000</v>
      </c>
      <c r="L44" s="157"/>
      <c r="M44" s="189"/>
      <c r="N44" s="189"/>
    </row>
    <row r="45" spans="1:15" s="32" customFormat="1" ht="25.5" customHeight="1" x14ac:dyDescent="0.2">
      <c r="A45" s="6">
        <v>3</v>
      </c>
      <c r="B45" s="7" t="s">
        <v>31</v>
      </c>
      <c r="C45" s="6" t="s">
        <v>32</v>
      </c>
      <c r="D45" s="132"/>
      <c r="E45" s="132"/>
      <c r="F45" s="120"/>
      <c r="G45" s="120"/>
      <c r="H45" s="120"/>
      <c r="I45" s="117">
        <f t="shared" ref="I45:K45" si="7">SUM(I46)</f>
        <v>2112000</v>
      </c>
      <c r="J45" s="117">
        <f t="shared" si="7"/>
        <v>1104000</v>
      </c>
      <c r="K45" s="117">
        <f t="shared" si="7"/>
        <v>1104000</v>
      </c>
      <c r="L45" s="157"/>
      <c r="M45" s="189"/>
      <c r="N45" s="189"/>
    </row>
    <row r="46" spans="1:15" s="32" customFormat="1" ht="25.5" customHeight="1" x14ac:dyDescent="0.2">
      <c r="A46" s="8" t="s">
        <v>23</v>
      </c>
      <c r="B46" s="11" t="s">
        <v>33</v>
      </c>
      <c r="C46" s="10" t="s">
        <v>32</v>
      </c>
      <c r="D46" s="132">
        <v>44000</v>
      </c>
      <c r="E46" s="132">
        <v>23000</v>
      </c>
      <c r="F46" s="120">
        <v>4</v>
      </c>
      <c r="G46" s="120">
        <f>+F46</f>
        <v>4</v>
      </c>
      <c r="H46" s="120">
        <f>G46</f>
        <v>4</v>
      </c>
      <c r="I46" s="120">
        <f>+D46*F46*12</f>
        <v>2112000</v>
      </c>
      <c r="J46" s="120">
        <f>E46*G46*12</f>
        <v>1104000</v>
      </c>
      <c r="K46" s="120">
        <f>E46*H46*12</f>
        <v>1104000</v>
      </c>
      <c r="L46" s="157"/>
      <c r="M46" s="189"/>
      <c r="N46" s="189"/>
    </row>
    <row r="47" spans="1:15" s="31" customFormat="1" ht="26.25" customHeight="1" x14ac:dyDescent="0.2">
      <c r="A47" s="106" t="s">
        <v>105</v>
      </c>
      <c r="B47" s="107" t="s">
        <v>103</v>
      </c>
      <c r="C47" s="108"/>
      <c r="D47" s="153"/>
      <c r="E47" s="153"/>
      <c r="F47" s="135"/>
      <c r="G47" s="135"/>
      <c r="H47" s="135"/>
      <c r="I47" s="121">
        <f>+I48+I58+I67+I76+I85+I93</f>
        <v>78624000</v>
      </c>
      <c r="J47" s="121">
        <f>+J48+J58+J67+J76+J85+J93</f>
        <v>49200000</v>
      </c>
      <c r="K47" s="121">
        <f>+K48+K58+K67+K76+K85+K93</f>
        <v>49200000</v>
      </c>
      <c r="L47" s="156"/>
      <c r="M47" s="188"/>
      <c r="N47" s="188"/>
      <c r="O47" s="58"/>
    </row>
    <row r="48" spans="1:15" s="31" customFormat="1" ht="26.25" customHeight="1" x14ac:dyDescent="0.2">
      <c r="A48" s="106" t="s">
        <v>38</v>
      </c>
      <c r="B48" s="107" t="s">
        <v>3</v>
      </c>
      <c r="C48" s="108"/>
      <c r="D48" s="153"/>
      <c r="E48" s="153"/>
      <c r="F48" s="135"/>
      <c r="G48" s="135"/>
      <c r="H48" s="135"/>
      <c r="I48" s="121">
        <f>+I49+I54+I56</f>
        <v>15744000</v>
      </c>
      <c r="J48" s="121">
        <f>+J49+J54+J56</f>
        <v>10488000</v>
      </c>
      <c r="K48" s="121">
        <f>+K49+K54+K56</f>
        <v>10488000</v>
      </c>
      <c r="L48" s="156"/>
      <c r="M48" s="188"/>
      <c r="N48" s="188"/>
      <c r="O48" s="58"/>
    </row>
    <row r="49" spans="1:15" s="29" customFormat="1" ht="23.25" customHeight="1" x14ac:dyDescent="0.2">
      <c r="A49" s="53">
        <v>1</v>
      </c>
      <c r="B49" s="54" t="s">
        <v>21</v>
      </c>
      <c r="C49" s="53" t="s">
        <v>22</v>
      </c>
      <c r="D49" s="131"/>
      <c r="E49" s="131"/>
      <c r="F49" s="134"/>
      <c r="G49" s="134"/>
      <c r="H49" s="134"/>
      <c r="I49" s="127">
        <f>SUM(I50:I53)</f>
        <v>7716000</v>
      </c>
      <c r="J49" s="127">
        <f>SUM(J50:J53)</f>
        <v>4896000</v>
      </c>
      <c r="K49" s="127">
        <f>SUM(K50:K53)</f>
        <v>4896000</v>
      </c>
      <c r="L49" s="157"/>
      <c r="M49" s="189"/>
      <c r="N49" s="189"/>
      <c r="O49" s="30"/>
    </row>
    <row r="50" spans="1:15" s="29" customFormat="1" ht="23.25" customHeight="1" x14ac:dyDescent="0.2">
      <c r="A50" s="55" t="s">
        <v>23</v>
      </c>
      <c r="B50" s="56" t="s">
        <v>24</v>
      </c>
      <c r="C50" s="57" t="s">
        <v>22</v>
      </c>
      <c r="D50" s="132">
        <v>10000</v>
      </c>
      <c r="E50" s="132"/>
      <c r="F50" s="118">
        <v>32</v>
      </c>
      <c r="G50" s="118"/>
      <c r="H50" s="118"/>
      <c r="I50" s="122">
        <f>+D50*F50*12</f>
        <v>3840000</v>
      </c>
      <c r="J50" s="122"/>
      <c r="K50" s="122"/>
      <c r="L50" s="157"/>
      <c r="M50" s="189"/>
      <c r="N50" s="189"/>
      <c r="O50" s="41"/>
    </row>
    <row r="51" spans="1:15" s="29" customFormat="1" ht="23.25" customHeight="1" x14ac:dyDescent="0.2">
      <c r="A51" s="55" t="s">
        <v>23</v>
      </c>
      <c r="B51" s="56" t="s">
        <v>25</v>
      </c>
      <c r="C51" s="57" t="s">
        <v>22</v>
      </c>
      <c r="D51" s="132">
        <v>13000</v>
      </c>
      <c r="E51" s="132"/>
      <c r="F51" s="118">
        <v>17</v>
      </c>
      <c r="G51" s="118"/>
      <c r="H51" s="118"/>
      <c r="I51" s="122">
        <f>+D51*F51*12</f>
        <v>2652000</v>
      </c>
      <c r="J51" s="122"/>
      <c r="K51" s="122"/>
      <c r="L51" s="157"/>
      <c r="M51" s="189"/>
      <c r="N51" s="189"/>
      <c r="O51" s="41"/>
    </row>
    <row r="52" spans="1:15" s="29" customFormat="1" ht="23.25" customHeight="1" x14ac:dyDescent="0.2">
      <c r="A52" s="55" t="s">
        <v>23</v>
      </c>
      <c r="B52" s="56" t="s">
        <v>26</v>
      </c>
      <c r="C52" s="57" t="s">
        <v>22</v>
      </c>
      <c r="D52" s="132">
        <v>17000</v>
      </c>
      <c r="E52" s="132"/>
      <c r="F52" s="118">
        <v>6</v>
      </c>
      <c r="G52" s="118"/>
      <c r="H52" s="118"/>
      <c r="I52" s="122">
        <f>+D52*F52*12</f>
        <v>1224000</v>
      </c>
      <c r="J52" s="122"/>
      <c r="K52" s="122"/>
      <c r="L52" s="157"/>
      <c r="M52" s="189"/>
      <c r="N52" s="189"/>
      <c r="O52" s="30"/>
    </row>
    <row r="53" spans="1:15" s="29" customFormat="1" ht="23.25" customHeight="1" x14ac:dyDescent="0.2">
      <c r="A53" s="8" t="s">
        <v>23</v>
      </c>
      <c r="B53" s="9" t="s">
        <v>142</v>
      </c>
      <c r="C53" s="10" t="s">
        <v>143</v>
      </c>
      <c r="D53" s="132"/>
      <c r="E53" s="132">
        <v>1500</v>
      </c>
      <c r="F53" s="118"/>
      <c r="G53" s="118">
        <f>+F50*4+F51*6+F52*7</f>
        <v>272</v>
      </c>
      <c r="H53" s="118">
        <f>G53</f>
        <v>272</v>
      </c>
      <c r="I53" s="122"/>
      <c r="J53" s="122">
        <f>E53*G53*12</f>
        <v>4896000</v>
      </c>
      <c r="K53" s="122">
        <f>E53*H53*12</f>
        <v>4896000</v>
      </c>
      <c r="L53" s="157"/>
      <c r="M53" s="189"/>
      <c r="N53" s="189"/>
      <c r="O53" s="30"/>
    </row>
    <row r="54" spans="1:15" s="31" customFormat="1" ht="23.25" customHeight="1" x14ac:dyDescent="0.2">
      <c r="A54" s="53">
        <v>2</v>
      </c>
      <c r="B54" s="54" t="s">
        <v>27</v>
      </c>
      <c r="C54" s="53" t="s">
        <v>28</v>
      </c>
      <c r="D54" s="132"/>
      <c r="E54" s="132"/>
      <c r="F54" s="118"/>
      <c r="G54" s="118"/>
      <c r="H54" s="118"/>
      <c r="I54" s="127">
        <f t="shared" ref="I54:K54" si="8">+I55</f>
        <v>5916000</v>
      </c>
      <c r="J54" s="127">
        <f t="shared" si="8"/>
        <v>4488000</v>
      </c>
      <c r="K54" s="127">
        <f t="shared" si="8"/>
        <v>4488000</v>
      </c>
      <c r="L54" s="157"/>
      <c r="M54" s="189"/>
      <c r="N54" s="189"/>
      <c r="O54" s="30"/>
    </row>
    <row r="55" spans="1:15" s="31" customFormat="1" ht="31.5" customHeight="1" x14ac:dyDescent="0.2">
      <c r="A55" s="55" t="s">
        <v>23</v>
      </c>
      <c r="B55" s="59" t="s">
        <v>29</v>
      </c>
      <c r="C55" s="57" t="s">
        <v>28</v>
      </c>
      <c r="D55" s="132">
        <v>29000</v>
      </c>
      <c r="E55" s="132">
        <v>22000</v>
      </c>
      <c r="F55" s="118">
        <v>17</v>
      </c>
      <c r="G55" s="118">
        <f>+F55</f>
        <v>17</v>
      </c>
      <c r="H55" s="118">
        <f>G55</f>
        <v>17</v>
      </c>
      <c r="I55" s="122">
        <f>+D55*F55*12</f>
        <v>5916000</v>
      </c>
      <c r="J55" s="122">
        <f>E55*G55*12</f>
        <v>4488000</v>
      </c>
      <c r="K55" s="122">
        <f>E55*H55*12</f>
        <v>4488000</v>
      </c>
      <c r="L55" s="157"/>
      <c r="M55" s="189"/>
      <c r="N55" s="189"/>
      <c r="O55" s="41"/>
    </row>
    <row r="56" spans="1:15" s="31" customFormat="1" ht="24.75" customHeight="1" x14ac:dyDescent="0.2">
      <c r="A56" s="53">
        <v>3</v>
      </c>
      <c r="B56" s="54" t="s">
        <v>31</v>
      </c>
      <c r="C56" s="53" t="s">
        <v>32</v>
      </c>
      <c r="D56" s="132"/>
      <c r="E56" s="132"/>
      <c r="F56" s="118"/>
      <c r="G56" s="118"/>
      <c r="H56" s="118"/>
      <c r="I56" s="127">
        <f t="shared" ref="I56:K56" si="9">SUM(I57)</f>
        <v>2112000</v>
      </c>
      <c r="J56" s="127">
        <f t="shared" si="9"/>
        <v>1104000</v>
      </c>
      <c r="K56" s="127">
        <f t="shared" si="9"/>
        <v>1104000</v>
      </c>
      <c r="L56" s="157"/>
      <c r="M56" s="189"/>
      <c r="N56" s="189"/>
      <c r="O56" s="30"/>
    </row>
    <row r="57" spans="1:15" s="31" customFormat="1" ht="24.75" customHeight="1" x14ac:dyDescent="0.2">
      <c r="A57" s="55" t="s">
        <v>23</v>
      </c>
      <c r="B57" s="59" t="s">
        <v>33</v>
      </c>
      <c r="C57" s="57" t="s">
        <v>32</v>
      </c>
      <c r="D57" s="132">
        <v>44000</v>
      </c>
      <c r="E57" s="132">
        <v>23000</v>
      </c>
      <c r="F57" s="118">
        <v>4</v>
      </c>
      <c r="G57" s="118">
        <f>+F57</f>
        <v>4</v>
      </c>
      <c r="H57" s="118">
        <f>G57</f>
        <v>4</v>
      </c>
      <c r="I57" s="122">
        <f>+D57*F57*12</f>
        <v>2112000</v>
      </c>
      <c r="J57" s="122">
        <f>E57*G57*12</f>
        <v>1104000</v>
      </c>
      <c r="K57" s="122">
        <f>E57*H57*12</f>
        <v>1104000</v>
      </c>
      <c r="L57" s="159"/>
      <c r="M57" s="191"/>
      <c r="N57" s="191"/>
      <c r="O57" s="41"/>
    </row>
    <row r="58" spans="1:15" s="31" customFormat="1" ht="26.25" customHeight="1" x14ac:dyDescent="0.2">
      <c r="A58" s="103" t="s">
        <v>51</v>
      </c>
      <c r="B58" s="104" t="s">
        <v>5</v>
      </c>
      <c r="C58" s="105"/>
      <c r="D58" s="130"/>
      <c r="E58" s="130"/>
      <c r="F58" s="119"/>
      <c r="G58" s="119"/>
      <c r="H58" s="119"/>
      <c r="I58" s="123">
        <f>+I59+I63+I65</f>
        <v>8928000</v>
      </c>
      <c r="J58" s="123">
        <f>+J59+J63+J65</f>
        <v>5664000</v>
      </c>
      <c r="K58" s="123">
        <f>+K59+K63+K65</f>
        <v>5664000</v>
      </c>
      <c r="L58" s="158"/>
      <c r="M58" s="190"/>
      <c r="N58" s="190"/>
      <c r="O58" s="58"/>
    </row>
    <row r="59" spans="1:15" s="30" customFormat="1" ht="27.75" customHeight="1" x14ac:dyDescent="0.2">
      <c r="A59" s="6">
        <v>1</v>
      </c>
      <c r="B59" s="7" t="s">
        <v>21</v>
      </c>
      <c r="C59" s="6" t="s">
        <v>22</v>
      </c>
      <c r="D59" s="131"/>
      <c r="E59" s="131"/>
      <c r="F59" s="136"/>
      <c r="G59" s="136"/>
      <c r="H59" s="136"/>
      <c r="I59" s="128">
        <f>SUM(I60:I62)</f>
        <v>4032000</v>
      </c>
      <c r="J59" s="128">
        <f>SUM(J60:J62)</f>
        <v>2448000</v>
      </c>
      <c r="K59" s="128">
        <f>SUM(K60:K62)</f>
        <v>2448000</v>
      </c>
      <c r="L59" s="157"/>
      <c r="M59" s="189"/>
      <c r="N59" s="189"/>
    </row>
    <row r="60" spans="1:15" s="30" customFormat="1" ht="27.75" customHeight="1" x14ac:dyDescent="0.2">
      <c r="A60" s="8" t="s">
        <v>23</v>
      </c>
      <c r="B60" s="9" t="s">
        <v>24</v>
      </c>
      <c r="C60" s="10" t="s">
        <v>22</v>
      </c>
      <c r="D60" s="120">
        <v>10000</v>
      </c>
      <c r="E60" s="120"/>
      <c r="F60" s="120">
        <v>31</v>
      </c>
      <c r="G60" s="120"/>
      <c r="H60" s="120"/>
      <c r="I60" s="124">
        <f>+D60*F60*12</f>
        <v>3720000</v>
      </c>
      <c r="J60" s="124"/>
      <c r="K60" s="124"/>
      <c r="L60" s="157"/>
      <c r="M60" s="189"/>
      <c r="N60" s="189"/>
      <c r="O60" s="41"/>
    </row>
    <row r="61" spans="1:15" s="30" customFormat="1" ht="27.75" customHeight="1" x14ac:dyDescent="0.2">
      <c r="A61" s="8" t="s">
        <v>23</v>
      </c>
      <c r="B61" s="9" t="s">
        <v>25</v>
      </c>
      <c r="C61" s="10" t="s">
        <v>22</v>
      </c>
      <c r="D61" s="120">
        <v>13000</v>
      </c>
      <c r="E61" s="120"/>
      <c r="F61" s="120">
        <v>2</v>
      </c>
      <c r="G61" s="120"/>
      <c r="H61" s="120"/>
      <c r="I61" s="124">
        <f>+D61*F61*12</f>
        <v>312000</v>
      </c>
      <c r="J61" s="124"/>
      <c r="K61" s="124"/>
      <c r="L61" s="157"/>
      <c r="M61" s="189"/>
      <c r="N61" s="189"/>
      <c r="O61" s="41"/>
    </row>
    <row r="62" spans="1:15" s="30" customFormat="1" ht="27.75" customHeight="1" x14ac:dyDescent="0.2">
      <c r="A62" s="8" t="s">
        <v>23</v>
      </c>
      <c r="B62" s="9" t="s">
        <v>142</v>
      </c>
      <c r="C62" s="10" t="s">
        <v>143</v>
      </c>
      <c r="D62" s="132"/>
      <c r="E62" s="132">
        <v>1500</v>
      </c>
      <c r="F62" s="120"/>
      <c r="G62" s="120">
        <f>+F60*4+F61*6</f>
        <v>136</v>
      </c>
      <c r="H62" s="120">
        <f>G62</f>
        <v>136</v>
      </c>
      <c r="I62" s="124"/>
      <c r="J62" s="124">
        <f>E62*G62*12</f>
        <v>2448000</v>
      </c>
      <c r="K62" s="124">
        <f>E62*H62*12</f>
        <v>2448000</v>
      </c>
      <c r="L62" s="157"/>
      <c r="M62" s="189"/>
      <c r="N62" s="189"/>
      <c r="O62" s="41"/>
    </row>
    <row r="63" spans="1:15" s="32" customFormat="1" ht="27.75" customHeight="1" x14ac:dyDescent="0.2">
      <c r="A63" s="6">
        <v>2</v>
      </c>
      <c r="B63" s="7" t="s">
        <v>27</v>
      </c>
      <c r="C63" s="6" t="s">
        <v>28</v>
      </c>
      <c r="D63" s="131"/>
      <c r="E63" s="131"/>
      <c r="F63" s="120"/>
      <c r="G63" s="120"/>
      <c r="H63" s="120"/>
      <c r="I63" s="128">
        <f t="shared" ref="I63:K63" si="10">+I64</f>
        <v>2784000</v>
      </c>
      <c r="J63" s="128">
        <f t="shared" si="10"/>
        <v>2112000</v>
      </c>
      <c r="K63" s="128">
        <f t="shared" si="10"/>
        <v>2112000</v>
      </c>
      <c r="L63" s="157"/>
      <c r="M63" s="189"/>
      <c r="N63" s="189"/>
      <c r="O63" s="30"/>
    </row>
    <row r="64" spans="1:15" s="32" customFormat="1" ht="29.25" customHeight="1" x14ac:dyDescent="0.2">
      <c r="A64" s="8" t="s">
        <v>23</v>
      </c>
      <c r="B64" s="11" t="s">
        <v>29</v>
      </c>
      <c r="C64" s="10" t="s">
        <v>28</v>
      </c>
      <c r="D64" s="133">
        <v>29000</v>
      </c>
      <c r="E64" s="133">
        <v>22000</v>
      </c>
      <c r="F64" s="120">
        <v>8</v>
      </c>
      <c r="G64" s="120">
        <f>+F64</f>
        <v>8</v>
      </c>
      <c r="H64" s="120">
        <f>G64</f>
        <v>8</v>
      </c>
      <c r="I64" s="124">
        <f>+D64*F64*12</f>
        <v>2784000</v>
      </c>
      <c r="J64" s="124">
        <f>E64*G64*12</f>
        <v>2112000</v>
      </c>
      <c r="K64" s="124">
        <f>E64*H64*12</f>
        <v>2112000</v>
      </c>
      <c r="L64" s="157"/>
      <c r="M64" s="189"/>
      <c r="N64" s="189"/>
      <c r="O64" s="41"/>
    </row>
    <row r="65" spans="1:15" s="32" customFormat="1" ht="25.5" customHeight="1" x14ac:dyDescent="0.2">
      <c r="A65" s="6">
        <v>3</v>
      </c>
      <c r="B65" s="7" t="s">
        <v>31</v>
      </c>
      <c r="C65" s="6" t="s">
        <v>32</v>
      </c>
      <c r="D65" s="131"/>
      <c r="E65" s="131"/>
      <c r="F65" s="120"/>
      <c r="G65" s="120"/>
      <c r="H65" s="120"/>
      <c r="I65" s="128">
        <f t="shared" ref="I65:K65" si="11">SUM(I66)</f>
        <v>2112000</v>
      </c>
      <c r="J65" s="128">
        <f t="shared" si="11"/>
        <v>1104000</v>
      </c>
      <c r="K65" s="128">
        <f t="shared" si="11"/>
        <v>1104000</v>
      </c>
      <c r="L65" s="157"/>
      <c r="M65" s="189"/>
      <c r="N65" s="189"/>
      <c r="O65" s="30"/>
    </row>
    <row r="66" spans="1:15" s="32" customFormat="1" ht="25.5" customHeight="1" x14ac:dyDescent="0.2">
      <c r="A66" s="8" t="s">
        <v>23</v>
      </c>
      <c r="B66" s="11" t="s">
        <v>33</v>
      </c>
      <c r="C66" s="10" t="s">
        <v>32</v>
      </c>
      <c r="D66" s="133">
        <v>44000</v>
      </c>
      <c r="E66" s="133">
        <v>23000</v>
      </c>
      <c r="F66" s="120">
        <v>4</v>
      </c>
      <c r="G66" s="120">
        <f>+F66</f>
        <v>4</v>
      </c>
      <c r="H66" s="120">
        <f>G66</f>
        <v>4</v>
      </c>
      <c r="I66" s="124">
        <f>+D66*F66*12</f>
        <v>2112000</v>
      </c>
      <c r="J66" s="124">
        <f>E66*G66*12</f>
        <v>1104000</v>
      </c>
      <c r="K66" s="124">
        <f>E66*H66*12</f>
        <v>1104000</v>
      </c>
      <c r="L66" s="159"/>
      <c r="M66" s="191"/>
      <c r="N66" s="191"/>
      <c r="O66" s="41"/>
    </row>
    <row r="67" spans="1:15" s="31" customFormat="1" ht="26.25" customHeight="1" x14ac:dyDescent="0.2">
      <c r="A67" s="103" t="s">
        <v>57</v>
      </c>
      <c r="B67" s="104" t="s">
        <v>6</v>
      </c>
      <c r="C67" s="105"/>
      <c r="D67" s="130"/>
      <c r="E67" s="130"/>
      <c r="F67" s="119"/>
      <c r="G67" s="119"/>
      <c r="H67" s="119"/>
      <c r="I67" s="123">
        <f>+I68+I72+I74</f>
        <v>9972000</v>
      </c>
      <c r="J67" s="123">
        <f>+J68+J72+J74</f>
        <v>6444000</v>
      </c>
      <c r="K67" s="123">
        <f>+K68+K72+K74</f>
        <v>6444000</v>
      </c>
      <c r="L67" s="158"/>
      <c r="M67" s="190"/>
      <c r="N67" s="190"/>
      <c r="O67" s="58"/>
    </row>
    <row r="68" spans="1:15" s="29" customFormat="1" ht="26.25" customHeight="1" x14ac:dyDescent="0.2">
      <c r="A68" s="6">
        <v>1</v>
      </c>
      <c r="B68" s="7" t="s">
        <v>21</v>
      </c>
      <c r="C68" s="6" t="s">
        <v>22</v>
      </c>
      <c r="D68" s="131"/>
      <c r="E68" s="131"/>
      <c r="F68" s="134"/>
      <c r="G68" s="134"/>
      <c r="H68" s="134"/>
      <c r="I68" s="127">
        <f>SUM(I69:I71)</f>
        <v>4380000</v>
      </c>
      <c r="J68" s="127">
        <f>SUM(J69:J71)</f>
        <v>2700000</v>
      </c>
      <c r="K68" s="127">
        <f>SUM(K69:K71)</f>
        <v>2700000</v>
      </c>
      <c r="L68" s="157"/>
      <c r="M68" s="189"/>
      <c r="N68" s="189"/>
    </row>
    <row r="69" spans="1:15" s="29" customFormat="1" ht="26.25" customHeight="1" x14ac:dyDescent="0.2">
      <c r="A69" s="8" t="s">
        <v>23</v>
      </c>
      <c r="B69" s="9" t="s">
        <v>24</v>
      </c>
      <c r="C69" s="10" t="s">
        <v>22</v>
      </c>
      <c r="D69" s="120">
        <v>10000</v>
      </c>
      <c r="E69" s="120"/>
      <c r="F69" s="120">
        <v>30</v>
      </c>
      <c r="G69" s="120"/>
      <c r="H69" s="120"/>
      <c r="I69" s="125">
        <f>+D69*F69*12</f>
        <v>3600000</v>
      </c>
      <c r="J69" s="125"/>
      <c r="K69" s="125"/>
      <c r="L69" s="157"/>
      <c r="M69" s="189"/>
      <c r="N69" s="189"/>
      <c r="O69" s="46"/>
    </row>
    <row r="70" spans="1:15" s="29" customFormat="1" ht="26.25" customHeight="1" x14ac:dyDescent="0.2">
      <c r="A70" s="8" t="s">
        <v>23</v>
      </c>
      <c r="B70" s="9" t="s">
        <v>25</v>
      </c>
      <c r="C70" s="10" t="s">
        <v>22</v>
      </c>
      <c r="D70" s="120">
        <v>13000</v>
      </c>
      <c r="E70" s="120"/>
      <c r="F70" s="120">
        <v>5</v>
      </c>
      <c r="G70" s="120"/>
      <c r="H70" s="120"/>
      <c r="I70" s="125">
        <f>+D70*F70*12</f>
        <v>780000</v>
      </c>
      <c r="J70" s="125"/>
      <c r="K70" s="125"/>
      <c r="L70" s="157"/>
      <c r="M70" s="189"/>
      <c r="N70" s="189"/>
      <c r="O70" s="46"/>
    </row>
    <row r="71" spans="1:15" s="29" customFormat="1" ht="26.25" customHeight="1" x14ac:dyDescent="0.2">
      <c r="A71" s="8" t="s">
        <v>23</v>
      </c>
      <c r="B71" s="9" t="s">
        <v>142</v>
      </c>
      <c r="C71" s="10" t="s">
        <v>143</v>
      </c>
      <c r="D71" s="132"/>
      <c r="E71" s="132">
        <v>1500</v>
      </c>
      <c r="F71" s="120"/>
      <c r="G71" s="120">
        <f>+F69*4+F70*6</f>
        <v>150</v>
      </c>
      <c r="H71" s="120">
        <f>G71</f>
        <v>150</v>
      </c>
      <c r="I71" s="125"/>
      <c r="J71" s="125">
        <f>E71*G71*12</f>
        <v>2700000</v>
      </c>
      <c r="K71" s="125">
        <f>E71*H71*12</f>
        <v>2700000</v>
      </c>
      <c r="L71" s="157"/>
      <c r="M71" s="189"/>
      <c r="N71" s="189"/>
      <c r="O71" s="46"/>
    </row>
    <row r="72" spans="1:15" s="31" customFormat="1" ht="26.25" customHeight="1" x14ac:dyDescent="0.2">
      <c r="A72" s="6">
        <v>2</v>
      </c>
      <c r="B72" s="7" t="s">
        <v>27</v>
      </c>
      <c r="C72" s="6" t="s">
        <v>28</v>
      </c>
      <c r="D72" s="131"/>
      <c r="E72" s="131"/>
      <c r="F72" s="120"/>
      <c r="G72" s="120"/>
      <c r="H72" s="120"/>
      <c r="I72" s="127">
        <f t="shared" ref="I72:K72" si="12">+I73</f>
        <v>3480000</v>
      </c>
      <c r="J72" s="127">
        <f t="shared" si="12"/>
        <v>2640000</v>
      </c>
      <c r="K72" s="127">
        <f t="shared" si="12"/>
        <v>2640000</v>
      </c>
      <c r="L72" s="157"/>
      <c r="M72" s="189"/>
      <c r="N72" s="189"/>
      <c r="O72" s="29"/>
    </row>
    <row r="73" spans="1:15" s="31" customFormat="1" ht="33" customHeight="1" x14ac:dyDescent="0.2">
      <c r="A73" s="8" t="s">
        <v>23</v>
      </c>
      <c r="B73" s="11" t="s">
        <v>29</v>
      </c>
      <c r="C73" s="10" t="s">
        <v>28</v>
      </c>
      <c r="D73" s="133">
        <v>29000</v>
      </c>
      <c r="E73" s="133">
        <v>22000</v>
      </c>
      <c r="F73" s="120">
        <v>10</v>
      </c>
      <c r="G73" s="120">
        <f>+F73</f>
        <v>10</v>
      </c>
      <c r="H73" s="120">
        <f>G73</f>
        <v>10</v>
      </c>
      <c r="I73" s="125">
        <f>+D73*F73*12</f>
        <v>3480000</v>
      </c>
      <c r="J73" s="125">
        <f>+E73*G73*12</f>
        <v>2640000</v>
      </c>
      <c r="K73" s="125">
        <f>E73*H73*12</f>
        <v>2640000</v>
      </c>
      <c r="L73" s="157"/>
      <c r="M73" s="189"/>
      <c r="N73" s="189"/>
      <c r="O73" s="46"/>
    </row>
    <row r="74" spans="1:15" s="31" customFormat="1" ht="25.5" customHeight="1" x14ac:dyDescent="0.2">
      <c r="A74" s="6">
        <v>3</v>
      </c>
      <c r="B74" s="7" t="s">
        <v>31</v>
      </c>
      <c r="C74" s="6" t="s">
        <v>32</v>
      </c>
      <c r="D74" s="131"/>
      <c r="E74" s="131"/>
      <c r="F74" s="120"/>
      <c r="G74" s="120"/>
      <c r="H74" s="120"/>
      <c r="I74" s="127">
        <f t="shared" ref="I74:K74" si="13">SUM(I75)</f>
        <v>2112000</v>
      </c>
      <c r="J74" s="127">
        <f t="shared" si="13"/>
        <v>1104000</v>
      </c>
      <c r="K74" s="127">
        <f t="shared" si="13"/>
        <v>1104000</v>
      </c>
      <c r="L74" s="157"/>
      <c r="M74" s="189"/>
      <c r="N74" s="189"/>
      <c r="O74" s="29"/>
    </row>
    <row r="75" spans="1:15" s="31" customFormat="1" ht="25.5" customHeight="1" x14ac:dyDescent="0.2">
      <c r="A75" s="8" t="s">
        <v>23</v>
      </c>
      <c r="B75" s="11" t="s">
        <v>33</v>
      </c>
      <c r="C75" s="10" t="s">
        <v>32</v>
      </c>
      <c r="D75" s="133">
        <v>44000</v>
      </c>
      <c r="E75" s="133">
        <v>23000</v>
      </c>
      <c r="F75" s="120">
        <v>4</v>
      </c>
      <c r="G75" s="120">
        <f>+F75</f>
        <v>4</v>
      </c>
      <c r="H75" s="120">
        <f>G75</f>
        <v>4</v>
      </c>
      <c r="I75" s="125">
        <f>+D75*F75*12</f>
        <v>2112000</v>
      </c>
      <c r="J75" s="125">
        <f>E75*G75*12</f>
        <v>1104000</v>
      </c>
      <c r="K75" s="125">
        <f>E75*H75*12</f>
        <v>1104000</v>
      </c>
      <c r="L75" s="159"/>
      <c r="M75" s="191"/>
      <c r="N75" s="191"/>
      <c r="O75" s="46"/>
    </row>
    <row r="76" spans="1:15" s="31" customFormat="1" ht="26.25" customHeight="1" x14ac:dyDescent="0.2">
      <c r="A76" s="103" t="s">
        <v>61</v>
      </c>
      <c r="B76" s="104" t="s">
        <v>7</v>
      </c>
      <c r="C76" s="105"/>
      <c r="D76" s="130"/>
      <c r="E76" s="130"/>
      <c r="F76" s="119"/>
      <c r="G76" s="119"/>
      <c r="H76" s="119"/>
      <c r="I76" s="123">
        <f t="shared" ref="I76:J76" si="14">+I77+I81+I83</f>
        <v>9216000</v>
      </c>
      <c r="J76" s="123">
        <f t="shared" si="14"/>
        <v>5796000</v>
      </c>
      <c r="K76" s="123">
        <f t="shared" ref="K76" si="15">+K77+K81+K83</f>
        <v>5796000</v>
      </c>
      <c r="L76" s="158"/>
      <c r="M76" s="190"/>
      <c r="N76" s="190"/>
      <c r="O76" s="58"/>
    </row>
    <row r="77" spans="1:15" s="29" customFormat="1" ht="22.5" customHeight="1" x14ac:dyDescent="0.2">
      <c r="A77" s="6">
        <v>1</v>
      </c>
      <c r="B77" s="7" t="s">
        <v>21</v>
      </c>
      <c r="C77" s="6" t="s">
        <v>22</v>
      </c>
      <c r="D77" s="131"/>
      <c r="E77" s="131"/>
      <c r="F77" s="136"/>
      <c r="G77" s="136"/>
      <c r="H77" s="136"/>
      <c r="I77" s="128">
        <f>SUM(I78:I80)</f>
        <v>4668000</v>
      </c>
      <c r="J77" s="128">
        <f>SUM(J78:J80)</f>
        <v>2844000</v>
      </c>
      <c r="K77" s="128">
        <f>SUM(K78:K80)</f>
        <v>2844000</v>
      </c>
      <c r="L77" s="157"/>
      <c r="M77" s="189"/>
      <c r="N77" s="189"/>
    </row>
    <row r="78" spans="1:15" s="29" customFormat="1" ht="22.5" customHeight="1" x14ac:dyDescent="0.2">
      <c r="A78" s="8" t="s">
        <v>23</v>
      </c>
      <c r="B78" s="9" t="s">
        <v>24</v>
      </c>
      <c r="C78" s="10" t="s">
        <v>22</v>
      </c>
      <c r="D78" s="120">
        <v>10000</v>
      </c>
      <c r="E78" s="120"/>
      <c r="F78" s="120">
        <v>35</v>
      </c>
      <c r="G78" s="120"/>
      <c r="H78" s="120"/>
      <c r="I78" s="126">
        <f>+D78*F78*12</f>
        <v>4200000</v>
      </c>
      <c r="J78" s="126"/>
      <c r="K78" s="126"/>
      <c r="L78" s="157"/>
      <c r="M78" s="189"/>
      <c r="N78" s="189"/>
      <c r="O78" s="46"/>
    </row>
    <row r="79" spans="1:15" s="29" customFormat="1" ht="22.5" customHeight="1" x14ac:dyDescent="0.2">
      <c r="A79" s="8" t="s">
        <v>23</v>
      </c>
      <c r="B79" s="9" t="s">
        <v>25</v>
      </c>
      <c r="C79" s="10" t="s">
        <v>22</v>
      </c>
      <c r="D79" s="120">
        <v>13000</v>
      </c>
      <c r="E79" s="120"/>
      <c r="F79" s="120">
        <v>3</v>
      </c>
      <c r="G79" s="120"/>
      <c r="H79" s="120"/>
      <c r="I79" s="126">
        <f>+D79*F79*12</f>
        <v>468000</v>
      </c>
      <c r="J79" s="126"/>
      <c r="K79" s="126"/>
      <c r="L79" s="157"/>
      <c r="M79" s="189"/>
      <c r="N79" s="189"/>
      <c r="O79" s="46"/>
    </row>
    <row r="80" spans="1:15" s="29" customFormat="1" ht="22.5" customHeight="1" x14ac:dyDescent="0.2">
      <c r="A80" s="8" t="s">
        <v>23</v>
      </c>
      <c r="B80" s="9" t="s">
        <v>142</v>
      </c>
      <c r="C80" s="10" t="s">
        <v>143</v>
      </c>
      <c r="D80" s="132"/>
      <c r="E80" s="132">
        <v>1500</v>
      </c>
      <c r="F80" s="120"/>
      <c r="G80" s="120">
        <f>+F78*4+F79*6</f>
        <v>158</v>
      </c>
      <c r="H80" s="120">
        <f>G80</f>
        <v>158</v>
      </c>
      <c r="I80" s="126"/>
      <c r="J80" s="126">
        <f>E80*G80*12</f>
        <v>2844000</v>
      </c>
      <c r="K80" s="126">
        <f>E80*H80*12</f>
        <v>2844000</v>
      </c>
      <c r="L80" s="157"/>
      <c r="M80" s="189"/>
      <c r="N80" s="189"/>
      <c r="O80" s="46"/>
    </row>
    <row r="81" spans="1:15" s="31" customFormat="1" ht="22.5" customHeight="1" x14ac:dyDescent="0.2">
      <c r="A81" s="6">
        <v>2</v>
      </c>
      <c r="B81" s="7" t="s">
        <v>27</v>
      </c>
      <c r="C81" s="6" t="s">
        <v>28</v>
      </c>
      <c r="D81" s="131"/>
      <c r="E81" s="131"/>
      <c r="F81" s="120"/>
      <c r="G81" s="120"/>
      <c r="H81" s="120"/>
      <c r="I81" s="128">
        <f t="shared" ref="I81:K81" si="16">+I82</f>
        <v>2436000</v>
      </c>
      <c r="J81" s="128">
        <f t="shared" si="16"/>
        <v>1848000</v>
      </c>
      <c r="K81" s="128">
        <f t="shared" si="16"/>
        <v>1848000</v>
      </c>
      <c r="L81" s="157"/>
      <c r="M81" s="189"/>
      <c r="N81" s="189"/>
      <c r="O81" s="29"/>
    </row>
    <row r="82" spans="1:15" s="31" customFormat="1" ht="31.5" customHeight="1" x14ac:dyDescent="0.2">
      <c r="A82" s="8" t="s">
        <v>23</v>
      </c>
      <c r="B82" s="11" t="s">
        <v>29</v>
      </c>
      <c r="C82" s="10" t="s">
        <v>28</v>
      </c>
      <c r="D82" s="133">
        <v>29000</v>
      </c>
      <c r="E82" s="133">
        <v>22000</v>
      </c>
      <c r="F82" s="120">
        <v>7</v>
      </c>
      <c r="G82" s="120">
        <f>+F82</f>
        <v>7</v>
      </c>
      <c r="H82" s="120">
        <f>G82</f>
        <v>7</v>
      </c>
      <c r="I82" s="126">
        <f>+D82*F82*12</f>
        <v>2436000</v>
      </c>
      <c r="J82" s="126">
        <f>E82*G82*12</f>
        <v>1848000</v>
      </c>
      <c r="K82" s="126">
        <f>E82*H82*12</f>
        <v>1848000</v>
      </c>
      <c r="L82" s="157"/>
      <c r="M82" s="189"/>
      <c r="N82" s="189"/>
      <c r="O82" s="46"/>
    </row>
    <row r="83" spans="1:15" s="31" customFormat="1" ht="24.75" customHeight="1" x14ac:dyDescent="0.2">
      <c r="A83" s="6">
        <v>3</v>
      </c>
      <c r="B83" s="7" t="s">
        <v>31</v>
      </c>
      <c r="C83" s="6" t="s">
        <v>32</v>
      </c>
      <c r="D83" s="131"/>
      <c r="E83" s="131"/>
      <c r="F83" s="120"/>
      <c r="G83" s="120"/>
      <c r="H83" s="120"/>
      <c r="I83" s="128">
        <f t="shared" ref="I83:K83" si="17">SUM(I84)</f>
        <v>2112000</v>
      </c>
      <c r="J83" s="128">
        <f t="shared" si="17"/>
        <v>1104000</v>
      </c>
      <c r="K83" s="128">
        <f t="shared" si="17"/>
        <v>1104000</v>
      </c>
      <c r="L83" s="157"/>
      <c r="M83" s="189"/>
      <c r="N83" s="189"/>
      <c r="O83" s="29"/>
    </row>
    <row r="84" spans="1:15" s="31" customFormat="1" ht="22.5" customHeight="1" x14ac:dyDescent="0.2">
      <c r="A84" s="8" t="s">
        <v>23</v>
      </c>
      <c r="B84" s="11" t="s">
        <v>33</v>
      </c>
      <c r="C84" s="10" t="s">
        <v>32</v>
      </c>
      <c r="D84" s="133">
        <v>44000</v>
      </c>
      <c r="E84" s="133">
        <v>23000</v>
      </c>
      <c r="F84" s="120">
        <v>4</v>
      </c>
      <c r="G84" s="120">
        <f>+F84</f>
        <v>4</v>
      </c>
      <c r="H84" s="120">
        <f>G84</f>
        <v>4</v>
      </c>
      <c r="I84" s="126">
        <f>+D84*F84*12</f>
        <v>2112000</v>
      </c>
      <c r="J84" s="126">
        <f>E84*G84*12</f>
        <v>1104000</v>
      </c>
      <c r="K84" s="126">
        <f>E84*H84*12</f>
        <v>1104000</v>
      </c>
      <c r="L84" s="159"/>
      <c r="M84" s="191"/>
      <c r="N84" s="191"/>
      <c r="O84" s="46"/>
    </row>
    <row r="85" spans="1:15" s="31" customFormat="1" ht="26.25" customHeight="1" x14ac:dyDescent="0.2">
      <c r="A85" s="103" t="s">
        <v>106</v>
      </c>
      <c r="B85" s="104" t="s">
        <v>10</v>
      </c>
      <c r="C85" s="105"/>
      <c r="D85" s="130"/>
      <c r="E85" s="130"/>
      <c r="F85" s="119"/>
      <c r="G85" s="119"/>
      <c r="H85" s="119"/>
      <c r="I85" s="123">
        <f t="shared" ref="I85" si="18">+I86+I89+I91</f>
        <v>16356000</v>
      </c>
      <c r="J85" s="123">
        <f>+J86+J89+J91</f>
        <v>9816000</v>
      </c>
      <c r="K85" s="123">
        <f>+K86+K89+K91</f>
        <v>9816000</v>
      </c>
      <c r="L85" s="158"/>
      <c r="M85" s="190"/>
      <c r="N85" s="190"/>
      <c r="O85" s="58"/>
    </row>
    <row r="86" spans="1:15" s="30" customFormat="1" ht="21" customHeight="1" x14ac:dyDescent="0.2">
      <c r="A86" s="6">
        <v>1</v>
      </c>
      <c r="B86" s="7" t="s">
        <v>21</v>
      </c>
      <c r="C86" s="6" t="s">
        <v>22</v>
      </c>
      <c r="D86" s="131"/>
      <c r="E86" s="131"/>
      <c r="F86" s="136"/>
      <c r="G86" s="136"/>
      <c r="H86" s="136"/>
      <c r="I86" s="128">
        <f>SUM(I87:I88)</f>
        <v>13200000</v>
      </c>
      <c r="J86" s="128">
        <f>SUM(J87:J88)</f>
        <v>7920000</v>
      </c>
      <c r="K86" s="128">
        <f>SUM(K87:K88)</f>
        <v>7920000</v>
      </c>
      <c r="L86" s="157"/>
      <c r="M86" s="189"/>
      <c r="N86" s="189"/>
    </row>
    <row r="87" spans="1:15" s="30" customFormat="1" ht="21" customHeight="1" x14ac:dyDescent="0.2">
      <c r="A87" s="8" t="s">
        <v>23</v>
      </c>
      <c r="B87" s="9" t="s">
        <v>24</v>
      </c>
      <c r="C87" s="10" t="s">
        <v>22</v>
      </c>
      <c r="D87" s="120">
        <v>10000</v>
      </c>
      <c r="E87" s="120"/>
      <c r="F87" s="120">
        <v>110</v>
      </c>
      <c r="G87" s="120"/>
      <c r="H87" s="120"/>
      <c r="I87" s="124">
        <f>+D87*F87*12</f>
        <v>13200000</v>
      </c>
      <c r="J87" s="124"/>
      <c r="K87" s="124"/>
      <c r="L87" s="157"/>
      <c r="M87" s="189"/>
      <c r="N87" s="189"/>
      <c r="O87" s="41"/>
    </row>
    <row r="88" spans="1:15" s="30" customFormat="1" ht="21" customHeight="1" x14ac:dyDescent="0.2">
      <c r="A88" s="8" t="s">
        <v>23</v>
      </c>
      <c r="B88" s="9" t="s">
        <v>142</v>
      </c>
      <c r="C88" s="10" t="s">
        <v>143</v>
      </c>
      <c r="D88" s="132"/>
      <c r="E88" s="132">
        <v>1500</v>
      </c>
      <c r="F88" s="120"/>
      <c r="G88" s="120">
        <f>+F87*4</f>
        <v>440</v>
      </c>
      <c r="H88" s="120">
        <f>G88</f>
        <v>440</v>
      </c>
      <c r="I88" s="124"/>
      <c r="J88" s="124">
        <f>E88*G88*12</f>
        <v>7920000</v>
      </c>
      <c r="K88" s="124">
        <f>E88*H88*12</f>
        <v>7920000</v>
      </c>
      <c r="L88" s="157"/>
      <c r="M88" s="189"/>
      <c r="N88" s="189"/>
      <c r="O88" s="41"/>
    </row>
    <row r="89" spans="1:15" s="32" customFormat="1" ht="21" customHeight="1" x14ac:dyDescent="0.2">
      <c r="A89" s="6">
        <v>2</v>
      </c>
      <c r="B89" s="7" t="s">
        <v>27</v>
      </c>
      <c r="C89" s="6" t="s">
        <v>28</v>
      </c>
      <c r="D89" s="131"/>
      <c r="E89" s="131"/>
      <c r="F89" s="120"/>
      <c r="G89" s="120"/>
      <c r="H89" s="120"/>
      <c r="I89" s="128">
        <f t="shared" ref="I89:K89" si="19">+I90</f>
        <v>1044000</v>
      </c>
      <c r="J89" s="128">
        <f t="shared" si="19"/>
        <v>792000</v>
      </c>
      <c r="K89" s="128">
        <f t="shared" si="19"/>
        <v>792000</v>
      </c>
      <c r="L89" s="157"/>
      <c r="M89" s="189"/>
      <c r="N89" s="189"/>
      <c r="O89" s="30"/>
    </row>
    <row r="90" spans="1:15" s="32" customFormat="1" ht="35.25" customHeight="1" x14ac:dyDescent="0.2">
      <c r="A90" s="8" t="s">
        <v>23</v>
      </c>
      <c r="B90" s="11" t="s">
        <v>29</v>
      </c>
      <c r="C90" s="10" t="s">
        <v>28</v>
      </c>
      <c r="D90" s="133">
        <v>29000</v>
      </c>
      <c r="E90" s="133">
        <v>22000</v>
      </c>
      <c r="F90" s="120">
        <v>3</v>
      </c>
      <c r="G90" s="120">
        <f>+F90</f>
        <v>3</v>
      </c>
      <c r="H90" s="120">
        <f>G90</f>
        <v>3</v>
      </c>
      <c r="I90" s="124">
        <f>+D90*F90*12</f>
        <v>1044000</v>
      </c>
      <c r="J90" s="124">
        <f>E90*G90*12</f>
        <v>792000</v>
      </c>
      <c r="K90" s="124">
        <f>E90*H90*12</f>
        <v>792000</v>
      </c>
      <c r="L90" s="157"/>
      <c r="M90" s="189"/>
      <c r="N90" s="189"/>
      <c r="O90" s="41"/>
    </row>
    <row r="91" spans="1:15" s="32" customFormat="1" ht="24.75" customHeight="1" x14ac:dyDescent="0.2">
      <c r="A91" s="6">
        <v>3</v>
      </c>
      <c r="B91" s="7" t="s">
        <v>31</v>
      </c>
      <c r="C91" s="6" t="s">
        <v>32</v>
      </c>
      <c r="D91" s="131"/>
      <c r="E91" s="131"/>
      <c r="F91" s="120"/>
      <c r="G91" s="120"/>
      <c r="H91" s="120"/>
      <c r="I91" s="128">
        <f t="shared" ref="I91" si="20">SUM(I92)</f>
        <v>2112000</v>
      </c>
      <c r="J91" s="128">
        <f>SUM(J92)</f>
        <v>1104000</v>
      </c>
      <c r="K91" s="128">
        <f>SUM(K92)</f>
        <v>1104000</v>
      </c>
      <c r="L91" s="157"/>
      <c r="M91" s="189"/>
      <c r="N91" s="189"/>
      <c r="O91" s="47"/>
    </row>
    <row r="92" spans="1:15" s="32" customFormat="1" ht="24.75" customHeight="1" x14ac:dyDescent="0.2">
      <c r="A92" s="8" t="s">
        <v>23</v>
      </c>
      <c r="B92" s="11" t="s">
        <v>33</v>
      </c>
      <c r="C92" s="10" t="s">
        <v>32</v>
      </c>
      <c r="D92" s="133">
        <v>44000</v>
      </c>
      <c r="E92" s="133">
        <v>23000</v>
      </c>
      <c r="F92" s="120">
        <v>4</v>
      </c>
      <c r="G92" s="120">
        <f>+F92</f>
        <v>4</v>
      </c>
      <c r="H92" s="120">
        <f>G92</f>
        <v>4</v>
      </c>
      <c r="I92" s="124">
        <f>+D92*F92*12</f>
        <v>2112000</v>
      </c>
      <c r="J92" s="124">
        <f>E92*G92*12</f>
        <v>1104000</v>
      </c>
      <c r="K92" s="124">
        <f>E92*H92*12</f>
        <v>1104000</v>
      </c>
      <c r="L92" s="159"/>
      <c r="M92" s="191"/>
      <c r="N92" s="191"/>
      <c r="O92" s="50"/>
    </row>
    <row r="93" spans="1:15" s="31" customFormat="1" ht="26.25" customHeight="1" x14ac:dyDescent="0.2">
      <c r="A93" s="103" t="s">
        <v>107</v>
      </c>
      <c r="B93" s="104" t="s">
        <v>9</v>
      </c>
      <c r="C93" s="105"/>
      <c r="D93" s="130"/>
      <c r="E93" s="130"/>
      <c r="F93" s="119"/>
      <c r="G93" s="119"/>
      <c r="H93" s="119"/>
      <c r="I93" s="123">
        <f t="shared" ref="I93:J93" si="21">+I94+I97+I99</f>
        <v>18408000</v>
      </c>
      <c r="J93" s="123">
        <f t="shared" si="21"/>
        <v>10992000</v>
      </c>
      <c r="K93" s="123">
        <f t="shared" ref="K93" si="22">+K94+K97+K99</f>
        <v>10992000</v>
      </c>
      <c r="L93" s="158"/>
      <c r="M93" s="190"/>
      <c r="N93" s="190"/>
      <c r="O93" s="58"/>
    </row>
    <row r="94" spans="1:15" s="30" customFormat="1" ht="21" customHeight="1" x14ac:dyDescent="0.2">
      <c r="A94" s="6">
        <v>1</v>
      </c>
      <c r="B94" s="7" t="s">
        <v>21</v>
      </c>
      <c r="C94" s="6" t="s">
        <v>22</v>
      </c>
      <c r="D94" s="131"/>
      <c r="E94" s="131"/>
      <c r="F94" s="136"/>
      <c r="G94" s="136"/>
      <c r="H94" s="136"/>
      <c r="I94" s="128">
        <f>SUM(I95:I96)</f>
        <v>15600000</v>
      </c>
      <c r="J94" s="128">
        <f>SUM(J95:J96)</f>
        <v>9360000</v>
      </c>
      <c r="K94" s="128">
        <f>SUM(K95:K96)</f>
        <v>9360000</v>
      </c>
      <c r="L94" s="157"/>
      <c r="M94" s="189"/>
      <c r="N94" s="189"/>
    </row>
    <row r="95" spans="1:15" s="30" customFormat="1" ht="21" customHeight="1" x14ac:dyDescent="0.2">
      <c r="A95" s="8" t="s">
        <v>23</v>
      </c>
      <c r="B95" s="9" t="s">
        <v>24</v>
      </c>
      <c r="C95" s="10" t="s">
        <v>22</v>
      </c>
      <c r="D95" s="132">
        <v>10000</v>
      </c>
      <c r="E95" s="132"/>
      <c r="F95" s="120">
        <v>130</v>
      </c>
      <c r="G95" s="120"/>
      <c r="H95" s="120"/>
      <c r="I95" s="126">
        <f>+D95*F95*12</f>
        <v>15600000</v>
      </c>
      <c r="J95" s="126"/>
      <c r="K95" s="126"/>
      <c r="L95" s="157"/>
      <c r="M95" s="189"/>
      <c r="N95" s="189"/>
      <c r="O95" s="41"/>
    </row>
    <row r="96" spans="1:15" s="30" customFormat="1" ht="21" customHeight="1" x14ac:dyDescent="0.2">
      <c r="A96" s="8" t="s">
        <v>23</v>
      </c>
      <c r="B96" s="9" t="s">
        <v>142</v>
      </c>
      <c r="C96" s="10" t="s">
        <v>143</v>
      </c>
      <c r="D96" s="132"/>
      <c r="E96" s="132">
        <v>1500</v>
      </c>
      <c r="F96" s="120"/>
      <c r="G96" s="120">
        <f>+F95*4</f>
        <v>520</v>
      </c>
      <c r="H96" s="120">
        <f>G96</f>
        <v>520</v>
      </c>
      <c r="I96" s="126"/>
      <c r="J96" s="126">
        <f>E96*G96*12</f>
        <v>9360000</v>
      </c>
      <c r="K96" s="126">
        <f>E96*H96*12</f>
        <v>9360000</v>
      </c>
      <c r="L96" s="157"/>
      <c r="M96" s="189"/>
      <c r="N96" s="189"/>
      <c r="O96" s="41"/>
    </row>
    <row r="97" spans="1:23" s="32" customFormat="1" ht="21" customHeight="1" x14ac:dyDescent="0.2">
      <c r="A97" s="6">
        <v>2</v>
      </c>
      <c r="B97" s="7" t="s">
        <v>27</v>
      </c>
      <c r="C97" s="6" t="s">
        <v>28</v>
      </c>
      <c r="D97" s="132"/>
      <c r="E97" s="132"/>
      <c r="F97" s="120"/>
      <c r="G97" s="120"/>
      <c r="H97" s="120"/>
      <c r="I97" s="128">
        <f t="shared" ref="I97:K97" si="23">+I98</f>
        <v>696000</v>
      </c>
      <c r="J97" s="128">
        <f t="shared" si="23"/>
        <v>528000</v>
      </c>
      <c r="K97" s="128">
        <f t="shared" si="23"/>
        <v>528000</v>
      </c>
      <c r="L97" s="157"/>
      <c r="M97" s="189"/>
      <c r="N97" s="189"/>
      <c r="O97" s="30"/>
    </row>
    <row r="98" spans="1:23" s="32" customFormat="1" ht="31.5" customHeight="1" x14ac:dyDescent="0.2">
      <c r="A98" s="8" t="s">
        <v>23</v>
      </c>
      <c r="B98" s="11" t="s">
        <v>29</v>
      </c>
      <c r="C98" s="10" t="s">
        <v>28</v>
      </c>
      <c r="D98" s="132">
        <v>29000</v>
      </c>
      <c r="E98" s="132">
        <v>22000</v>
      </c>
      <c r="F98" s="120">
        <v>2</v>
      </c>
      <c r="G98" s="120">
        <f>+F98</f>
        <v>2</v>
      </c>
      <c r="H98" s="120">
        <f>G98</f>
        <v>2</v>
      </c>
      <c r="I98" s="126">
        <f>+D98*F98*12</f>
        <v>696000</v>
      </c>
      <c r="J98" s="126">
        <f>E98*G98*12</f>
        <v>528000</v>
      </c>
      <c r="K98" s="126">
        <f>E98*H98*12</f>
        <v>528000</v>
      </c>
      <c r="L98" s="157"/>
      <c r="M98" s="189"/>
      <c r="N98" s="189"/>
      <c r="O98" s="41"/>
    </row>
    <row r="99" spans="1:23" s="32" customFormat="1" ht="23.25" customHeight="1" x14ac:dyDescent="0.2">
      <c r="A99" s="6">
        <v>3</v>
      </c>
      <c r="B99" s="7" t="s">
        <v>31</v>
      </c>
      <c r="C99" s="6" t="s">
        <v>32</v>
      </c>
      <c r="D99" s="132"/>
      <c r="E99" s="132"/>
      <c r="F99" s="120"/>
      <c r="G99" s="120"/>
      <c r="H99" s="120"/>
      <c r="I99" s="128">
        <f t="shared" ref="I99:K99" si="24">SUM(I100)</f>
        <v>2112000</v>
      </c>
      <c r="J99" s="128">
        <f t="shared" si="24"/>
        <v>1104000</v>
      </c>
      <c r="K99" s="128">
        <f t="shared" si="24"/>
        <v>1104000</v>
      </c>
      <c r="L99" s="157"/>
      <c r="M99" s="189"/>
      <c r="N99" s="189"/>
      <c r="O99" s="30"/>
    </row>
    <row r="100" spans="1:23" s="32" customFormat="1" ht="23.25" customHeight="1" x14ac:dyDescent="0.2">
      <c r="A100" s="8" t="s">
        <v>23</v>
      </c>
      <c r="B100" s="11" t="s">
        <v>33</v>
      </c>
      <c r="C100" s="10" t="s">
        <v>32</v>
      </c>
      <c r="D100" s="132">
        <v>44000</v>
      </c>
      <c r="E100" s="132">
        <v>23000</v>
      </c>
      <c r="F100" s="120">
        <v>4</v>
      </c>
      <c r="G100" s="120">
        <f>+F100</f>
        <v>4</v>
      </c>
      <c r="H100" s="120">
        <f>G100</f>
        <v>4</v>
      </c>
      <c r="I100" s="126">
        <f>+D100*F100*12</f>
        <v>2112000</v>
      </c>
      <c r="J100" s="126">
        <f>E100*G100*12</f>
        <v>1104000</v>
      </c>
      <c r="K100" s="126">
        <f>E100*H100*12</f>
        <v>1104000</v>
      </c>
      <c r="L100" s="159"/>
      <c r="M100" s="191"/>
      <c r="N100" s="191"/>
      <c r="O100" s="41"/>
    </row>
    <row r="101" spans="1:23" s="31" customFormat="1" ht="26.25" customHeight="1" x14ac:dyDescent="0.2">
      <c r="A101" s="106" t="s">
        <v>108</v>
      </c>
      <c r="B101" s="107" t="s">
        <v>127</v>
      </c>
      <c r="C101" s="108"/>
      <c r="D101" s="153"/>
      <c r="E101" s="153"/>
      <c r="F101" s="135"/>
      <c r="G101" s="135"/>
      <c r="H101" s="135"/>
      <c r="I101" s="121">
        <f t="shared" ref="I101:K101" si="25">+I102</f>
        <v>32640000</v>
      </c>
      <c r="J101" s="121">
        <f t="shared" si="25"/>
        <v>20940000</v>
      </c>
      <c r="K101" s="121">
        <f t="shared" si="25"/>
        <v>20940000</v>
      </c>
      <c r="L101" s="156"/>
      <c r="M101" s="188"/>
      <c r="N101" s="188"/>
      <c r="O101" s="58"/>
    </row>
    <row r="102" spans="1:23" s="31" customFormat="1" ht="26.25" customHeight="1" x14ac:dyDescent="0.2">
      <c r="A102" s="106" t="s">
        <v>38</v>
      </c>
      <c r="B102" s="107" t="s">
        <v>4</v>
      </c>
      <c r="C102" s="108"/>
      <c r="D102" s="153"/>
      <c r="E102" s="153"/>
      <c r="F102" s="135"/>
      <c r="G102" s="135"/>
      <c r="H102" s="135"/>
      <c r="I102" s="121">
        <f t="shared" ref="I102:J102" si="26">+I103+I107+I109</f>
        <v>32640000</v>
      </c>
      <c r="J102" s="121">
        <f t="shared" si="26"/>
        <v>20940000</v>
      </c>
      <c r="K102" s="121">
        <f t="shared" ref="K102" si="27">+K103+K107+K109</f>
        <v>20940000</v>
      </c>
      <c r="L102" s="156"/>
      <c r="M102" s="188"/>
      <c r="N102" s="188"/>
      <c r="O102" s="58"/>
    </row>
    <row r="103" spans="1:23" s="30" customFormat="1" ht="21.75" customHeight="1" x14ac:dyDescent="0.2">
      <c r="A103" s="53">
        <v>1</v>
      </c>
      <c r="B103" s="54" t="s">
        <v>21</v>
      </c>
      <c r="C103" s="53" t="s">
        <v>22</v>
      </c>
      <c r="D103" s="131"/>
      <c r="E103" s="131"/>
      <c r="F103" s="134"/>
      <c r="G103" s="134"/>
      <c r="H103" s="134"/>
      <c r="I103" s="85">
        <f>SUM(I104:I106)</f>
        <v>23220000</v>
      </c>
      <c r="J103" s="85">
        <f>SUM(J104:J106)</f>
        <v>14292000</v>
      </c>
      <c r="K103" s="85">
        <f>SUM(K104:K106)</f>
        <v>14292000</v>
      </c>
      <c r="L103" s="157"/>
      <c r="M103" s="189"/>
      <c r="N103" s="189"/>
      <c r="O103" s="51"/>
    </row>
    <row r="104" spans="1:23" s="30" customFormat="1" ht="21.75" customHeight="1" x14ac:dyDescent="0.2">
      <c r="A104" s="55" t="s">
        <v>23</v>
      </c>
      <c r="B104" s="56" t="s">
        <v>24</v>
      </c>
      <c r="C104" s="57" t="s">
        <v>22</v>
      </c>
      <c r="D104" s="132">
        <v>10000</v>
      </c>
      <c r="E104" s="132"/>
      <c r="F104" s="118">
        <v>161</v>
      </c>
      <c r="G104" s="118"/>
      <c r="H104" s="118"/>
      <c r="I104" s="129">
        <f>+D104*F104*12</f>
        <v>19320000</v>
      </c>
      <c r="J104" s="129"/>
      <c r="K104" s="129"/>
      <c r="L104" s="157"/>
      <c r="M104" s="189"/>
      <c r="N104" s="189"/>
      <c r="O104" s="58"/>
    </row>
    <row r="105" spans="1:23" s="30" customFormat="1" ht="21.75" customHeight="1" x14ac:dyDescent="0.2">
      <c r="A105" s="55" t="s">
        <v>23</v>
      </c>
      <c r="B105" s="56" t="s">
        <v>25</v>
      </c>
      <c r="C105" s="57" t="s">
        <v>22</v>
      </c>
      <c r="D105" s="132">
        <v>13000</v>
      </c>
      <c r="E105" s="132"/>
      <c r="F105" s="118">
        <v>25</v>
      </c>
      <c r="G105" s="118"/>
      <c r="H105" s="118"/>
      <c r="I105" s="129">
        <f>+D105*F105*12</f>
        <v>3900000</v>
      </c>
      <c r="J105" s="129"/>
      <c r="K105" s="129"/>
      <c r="L105" s="157"/>
      <c r="M105" s="189"/>
      <c r="N105" s="189"/>
      <c r="O105" s="58"/>
    </row>
    <row r="106" spans="1:23" s="30" customFormat="1" ht="21.75" customHeight="1" x14ac:dyDescent="0.2">
      <c r="A106" s="8" t="s">
        <v>23</v>
      </c>
      <c r="B106" s="9" t="s">
        <v>142</v>
      </c>
      <c r="C106" s="10" t="s">
        <v>143</v>
      </c>
      <c r="D106" s="132"/>
      <c r="E106" s="132">
        <v>1500</v>
      </c>
      <c r="F106" s="118"/>
      <c r="G106" s="118">
        <f>+F104*4+F105*6</f>
        <v>794</v>
      </c>
      <c r="H106" s="118">
        <f>G106</f>
        <v>794</v>
      </c>
      <c r="I106" s="129"/>
      <c r="J106" s="129">
        <f>E106*G106*12</f>
        <v>14292000</v>
      </c>
      <c r="K106" s="129">
        <f>E106*H106*12</f>
        <v>14292000</v>
      </c>
      <c r="L106" s="157"/>
      <c r="M106" s="189"/>
      <c r="N106" s="189"/>
      <c r="O106" s="58"/>
    </row>
    <row r="107" spans="1:23" s="32" customFormat="1" ht="21.75" customHeight="1" x14ac:dyDescent="0.2">
      <c r="A107" s="53">
        <v>2</v>
      </c>
      <c r="B107" s="54" t="s">
        <v>27</v>
      </c>
      <c r="C107" s="53" t="s">
        <v>28</v>
      </c>
      <c r="D107" s="132"/>
      <c r="E107" s="132"/>
      <c r="F107" s="118"/>
      <c r="G107" s="118"/>
      <c r="H107" s="118"/>
      <c r="I107" s="85">
        <f t="shared" ref="I107:K107" si="28">+I108</f>
        <v>7308000</v>
      </c>
      <c r="J107" s="85">
        <f t="shared" si="28"/>
        <v>5544000</v>
      </c>
      <c r="K107" s="85">
        <f t="shared" si="28"/>
        <v>5544000</v>
      </c>
      <c r="L107" s="157"/>
      <c r="M107" s="189"/>
      <c r="N107" s="189"/>
      <c r="O107" s="51"/>
    </row>
    <row r="108" spans="1:23" s="32" customFormat="1" ht="30.75" customHeight="1" x14ac:dyDescent="0.2">
      <c r="A108" s="55" t="s">
        <v>23</v>
      </c>
      <c r="B108" s="59" t="s">
        <v>29</v>
      </c>
      <c r="C108" s="57" t="s">
        <v>28</v>
      </c>
      <c r="D108" s="132">
        <v>29000</v>
      </c>
      <c r="E108" s="132">
        <v>22000</v>
      </c>
      <c r="F108" s="118">
        <v>21</v>
      </c>
      <c r="G108" s="118">
        <f>+F108</f>
        <v>21</v>
      </c>
      <c r="H108" s="118">
        <f>G108</f>
        <v>21</v>
      </c>
      <c r="I108" s="129">
        <f>+D108*F108*12</f>
        <v>7308000</v>
      </c>
      <c r="J108" s="129">
        <f>E108*G108*12</f>
        <v>5544000</v>
      </c>
      <c r="K108" s="129">
        <f>E108*H108*12</f>
        <v>5544000</v>
      </c>
      <c r="L108" s="157"/>
      <c r="M108" s="189"/>
      <c r="N108" s="189"/>
      <c r="O108" s="58"/>
    </row>
    <row r="109" spans="1:23" s="32" customFormat="1" ht="25.5" customHeight="1" x14ac:dyDescent="0.2">
      <c r="A109" s="53">
        <v>3</v>
      </c>
      <c r="B109" s="54" t="s">
        <v>31</v>
      </c>
      <c r="C109" s="53" t="s">
        <v>32</v>
      </c>
      <c r="D109" s="132"/>
      <c r="E109" s="132"/>
      <c r="F109" s="118"/>
      <c r="G109" s="118"/>
      <c r="H109" s="118"/>
      <c r="I109" s="85">
        <f t="shared" ref="I109:K109" si="29">SUM(I110)</f>
        <v>2112000</v>
      </c>
      <c r="J109" s="85">
        <f t="shared" si="29"/>
        <v>1104000</v>
      </c>
      <c r="K109" s="85">
        <f t="shared" si="29"/>
        <v>1104000</v>
      </c>
      <c r="L109" s="157"/>
      <c r="M109" s="189"/>
      <c r="N109" s="189"/>
      <c r="O109" s="51"/>
    </row>
    <row r="110" spans="1:23" s="32" customFormat="1" ht="25.5" customHeight="1" x14ac:dyDescent="0.2">
      <c r="A110" s="55" t="s">
        <v>23</v>
      </c>
      <c r="B110" s="59" t="s">
        <v>33</v>
      </c>
      <c r="C110" s="57" t="s">
        <v>32</v>
      </c>
      <c r="D110" s="132">
        <v>44000</v>
      </c>
      <c r="E110" s="132">
        <v>23000</v>
      </c>
      <c r="F110" s="118">
        <v>4</v>
      </c>
      <c r="G110" s="118">
        <f>+F110</f>
        <v>4</v>
      </c>
      <c r="H110" s="118">
        <f>G110</f>
        <v>4</v>
      </c>
      <c r="I110" s="129">
        <f>+D110*F110*12</f>
        <v>2112000</v>
      </c>
      <c r="J110" s="129">
        <f>E110*G110*12</f>
        <v>1104000</v>
      </c>
      <c r="K110" s="129">
        <f>E110*H110*12</f>
        <v>1104000</v>
      </c>
      <c r="L110" s="159"/>
      <c r="M110" s="191"/>
      <c r="N110" s="191"/>
      <c r="O110" s="58"/>
    </row>
    <row r="111" spans="1:23" s="28" customFormat="1" ht="31.5" customHeight="1" x14ac:dyDescent="0.2">
      <c r="A111" s="109" t="s">
        <v>18</v>
      </c>
      <c r="B111" s="112" t="s">
        <v>37</v>
      </c>
      <c r="C111" s="110"/>
      <c r="D111" s="112"/>
      <c r="E111" s="112"/>
      <c r="F111" s="111"/>
      <c r="G111" s="111"/>
      <c r="H111" s="111"/>
      <c r="I111" s="139">
        <f t="shared" ref="I111:J111" si="30">I112+I181+I223</f>
        <v>9115591000</v>
      </c>
      <c r="J111" s="139">
        <f t="shared" si="30"/>
        <v>5864113000</v>
      </c>
      <c r="K111" s="139" t="e">
        <f t="shared" ref="K111" si="31">K112+K181+K223</f>
        <v>#REF!</v>
      </c>
      <c r="L111" s="160"/>
      <c r="M111" s="160"/>
      <c r="N111" s="160"/>
      <c r="O111" s="148">
        <f>+L111*32</f>
        <v>0</v>
      </c>
      <c r="P111" s="81"/>
      <c r="Q111" s="81"/>
      <c r="R111" s="81"/>
      <c r="S111" s="81"/>
      <c r="T111" s="81"/>
      <c r="U111" s="81"/>
      <c r="V111" s="81"/>
      <c r="W111" s="81"/>
    </row>
    <row r="112" spans="1:23" s="210" customFormat="1" ht="29.25" customHeight="1" x14ac:dyDescent="0.2">
      <c r="A112" s="204" t="s">
        <v>101</v>
      </c>
      <c r="B112" s="205" t="s">
        <v>123</v>
      </c>
      <c r="C112" s="205"/>
      <c r="D112" s="205"/>
      <c r="E112" s="205"/>
      <c r="F112" s="206"/>
      <c r="G112" s="206"/>
      <c r="H112" s="206"/>
      <c r="I112" s="207">
        <f t="shared" ref="I112:J112" si="32">+ROUND((I113+I163+I172),-3)</f>
        <v>6208707000</v>
      </c>
      <c r="J112" s="207">
        <f t="shared" si="32"/>
        <v>4094209000</v>
      </c>
      <c r="K112" s="207" t="e">
        <f t="shared" ref="K112" si="33">+ROUND((K113+K163+K172),-3)</f>
        <v>#REF!</v>
      </c>
      <c r="L112" s="208"/>
      <c r="M112" s="203"/>
      <c r="N112" s="203">
        <v>6208707000</v>
      </c>
      <c r="O112" s="209" t="e">
        <f>+#REF!</f>
        <v>#REF!</v>
      </c>
    </row>
    <row r="113" spans="1:28" s="28" customFormat="1" ht="29.25" customHeight="1" x14ac:dyDescent="0.2">
      <c r="A113" s="103" t="s">
        <v>109</v>
      </c>
      <c r="B113" s="112" t="s">
        <v>8</v>
      </c>
      <c r="C113" s="110"/>
      <c r="D113" s="112"/>
      <c r="E113" s="112"/>
      <c r="F113" s="111"/>
      <c r="G113" s="111"/>
      <c r="H113" s="111"/>
      <c r="I113" s="139">
        <f t="shared" ref="I113:J113" si="34">+I114+I123+I161</f>
        <v>4552084460.8100004</v>
      </c>
      <c r="J113" s="139">
        <f t="shared" si="34"/>
        <v>3558101248.25</v>
      </c>
      <c r="K113" s="139" t="e">
        <f t="shared" ref="K113" si="35">+K114+K123+K161</f>
        <v>#REF!</v>
      </c>
      <c r="L113" s="161"/>
      <c r="M113" s="161"/>
      <c r="N113" s="161"/>
      <c r="O113" s="148">
        <f>+L112-L111</f>
        <v>0</v>
      </c>
      <c r="P113" s="81"/>
      <c r="Q113" s="81"/>
      <c r="R113" s="81"/>
      <c r="S113" s="81"/>
      <c r="T113" s="81"/>
      <c r="U113" s="81"/>
      <c r="V113" s="81"/>
      <c r="W113" s="81"/>
    </row>
    <row r="114" spans="1:28" s="2" customFormat="1" ht="33.75" customHeight="1" x14ac:dyDescent="0.2">
      <c r="A114" s="53" t="s">
        <v>38</v>
      </c>
      <c r="B114" s="12" t="s">
        <v>39</v>
      </c>
      <c r="C114" s="54"/>
      <c r="D114" s="6"/>
      <c r="E114" s="6"/>
      <c r="F114" s="85"/>
      <c r="G114" s="85"/>
      <c r="H114" s="85"/>
      <c r="I114" s="85">
        <f t="shared" ref="I114:J114" si="36">SUM(I115:I122)</f>
        <v>3657890545.3700004</v>
      </c>
      <c r="J114" s="85">
        <f t="shared" si="36"/>
        <v>3001247066.4499998</v>
      </c>
      <c r="K114" s="85" t="e">
        <f t="shared" ref="K114" si="37">SUM(K115:K122)</f>
        <v>#REF!</v>
      </c>
      <c r="L114" s="162"/>
      <c r="M114" s="192"/>
      <c r="N114" s="192"/>
      <c r="O114" s="184"/>
      <c r="P114" s="184"/>
      <c r="Q114" s="184"/>
      <c r="R114" s="184"/>
      <c r="S114" s="184"/>
      <c r="T114" s="184"/>
      <c r="U114" s="184"/>
      <c r="V114" s="184"/>
      <c r="W114" s="184"/>
    </row>
    <row r="115" spans="1:28" s="237" customFormat="1" ht="34.5" customHeight="1" x14ac:dyDescent="0.2">
      <c r="A115" s="231">
        <v>1</v>
      </c>
      <c r="B115" s="232" t="s">
        <v>40</v>
      </c>
      <c r="C115" s="231" t="s">
        <v>41</v>
      </c>
      <c r="D115" s="233">
        <v>1018000</v>
      </c>
      <c r="E115" s="233">
        <v>628915</v>
      </c>
      <c r="F115" s="234">
        <v>1679.53</v>
      </c>
      <c r="G115" s="234">
        <f>+F115</f>
        <v>1679.53</v>
      </c>
      <c r="H115" s="234" t="e">
        <f>#REF!+#REF!+#REF!+#REF!</f>
        <v>#REF!</v>
      </c>
      <c r="I115" s="235">
        <f>D115*F115</f>
        <v>1709761540</v>
      </c>
      <c r="J115" s="235">
        <f>E115*G115</f>
        <v>1056281609.9499999</v>
      </c>
      <c r="K115" s="235" t="e">
        <f>E115*H115</f>
        <v>#REF!</v>
      </c>
      <c r="L115" s="236"/>
      <c r="M115" s="236" t="e">
        <f>K115-J115</f>
        <v>#REF!</v>
      </c>
      <c r="N115" s="236">
        <v>2923580287.5700002</v>
      </c>
      <c r="O115" s="236">
        <v>1423599000</v>
      </c>
      <c r="P115" s="236" t="e">
        <f>+O115+O116</f>
        <v>#REF!</v>
      </c>
    </row>
    <row r="116" spans="1:28" s="237" customFormat="1" ht="34.5" customHeight="1" x14ac:dyDescent="0.2">
      <c r="A116" s="231">
        <v>2</v>
      </c>
      <c r="B116" s="232" t="s">
        <v>42</v>
      </c>
      <c r="C116" s="231" t="s">
        <v>41</v>
      </c>
      <c r="D116" s="235">
        <v>737823</v>
      </c>
      <c r="E116" s="235">
        <v>452818</v>
      </c>
      <c r="F116" s="234">
        <v>1196.9100000000001</v>
      </c>
      <c r="G116" s="234">
        <f>+F116</f>
        <v>1196.9100000000001</v>
      </c>
      <c r="H116" s="234" t="e">
        <f>#REF!+#REF!+#REF!+#REF!</f>
        <v>#REF!</v>
      </c>
      <c r="I116" s="235">
        <f>D116*F116</f>
        <v>883107726.93000007</v>
      </c>
      <c r="J116" s="235">
        <f t="shared" ref="J116:J122" si="38">E116*G116</f>
        <v>541982392.38</v>
      </c>
      <c r="K116" s="235" t="e">
        <f t="shared" ref="K116:K122" si="39">E116*H116</f>
        <v>#REF!</v>
      </c>
      <c r="L116" s="236"/>
      <c r="M116" s="236" t="e">
        <f t="shared" ref="M116:M117" si="40">K116-J116</f>
        <v>#REF!</v>
      </c>
      <c r="N116" s="236">
        <f>SUM(I115:I117)</f>
        <v>2923580287.5700002</v>
      </c>
      <c r="O116" s="236" t="e">
        <f>+#REF!</f>
        <v>#REF!</v>
      </c>
      <c r="P116" s="236" t="e">
        <f>+P115-#REF!</f>
        <v>#REF!</v>
      </c>
    </row>
    <row r="117" spans="1:28" s="237" customFormat="1" ht="30" customHeight="1" x14ac:dyDescent="0.2">
      <c r="A117" s="231">
        <v>3</v>
      </c>
      <c r="B117" s="232" t="s">
        <v>43</v>
      </c>
      <c r="C117" s="231" t="s">
        <v>44</v>
      </c>
      <c r="D117" s="235">
        <v>532872</v>
      </c>
      <c r="E117" s="235">
        <v>327036</v>
      </c>
      <c r="F117" s="238">
        <v>620.62</v>
      </c>
      <c r="G117" s="238">
        <f>+F117</f>
        <v>620.62</v>
      </c>
      <c r="H117" s="238" t="e">
        <f>(#REF!+#REF!+#REF!+#REF!)/1000</f>
        <v>#REF!</v>
      </c>
      <c r="I117" s="235">
        <f>D117*F117</f>
        <v>330711020.63999999</v>
      </c>
      <c r="J117" s="235">
        <f t="shared" si="38"/>
        <v>202965082.31999999</v>
      </c>
      <c r="K117" s="235" t="e">
        <f t="shared" si="39"/>
        <v>#REF!</v>
      </c>
      <c r="L117" s="236"/>
      <c r="M117" s="236" t="e">
        <f t="shared" si="40"/>
        <v>#REF!</v>
      </c>
      <c r="N117" s="236">
        <f>+N115-N116</f>
        <v>0</v>
      </c>
      <c r="O117" s="236"/>
      <c r="P117" s="236"/>
    </row>
    <row r="118" spans="1:28" s="79" customFormat="1" ht="51" customHeight="1" x14ac:dyDescent="0.2">
      <c r="A118" s="212">
        <v>4</v>
      </c>
      <c r="B118" s="213" t="s">
        <v>45</v>
      </c>
      <c r="C118" s="212" t="s">
        <v>46</v>
      </c>
      <c r="D118" s="214">
        <v>208460</v>
      </c>
      <c r="E118" s="214"/>
      <c r="F118" s="215">
        <v>1220.5999999999999</v>
      </c>
      <c r="G118" s="215">
        <v>0</v>
      </c>
      <c r="H118" s="215"/>
      <c r="I118" s="214">
        <f>D118*F118</f>
        <v>254446275.99999997</v>
      </c>
      <c r="J118" s="93">
        <f t="shared" si="38"/>
        <v>0</v>
      </c>
      <c r="K118" s="93">
        <f t="shared" si="39"/>
        <v>0</v>
      </c>
      <c r="L118" s="217"/>
      <c r="M118" s="217"/>
      <c r="N118" s="217"/>
      <c r="O118" s="217"/>
      <c r="P118" s="217"/>
    </row>
    <row r="119" spans="1:28" s="79" customFormat="1" ht="51" customHeight="1" x14ac:dyDescent="0.2">
      <c r="A119" s="13" t="s">
        <v>23</v>
      </c>
      <c r="B119" s="14" t="s">
        <v>146</v>
      </c>
      <c r="C119" s="13" t="s">
        <v>46</v>
      </c>
      <c r="D119" s="140"/>
      <c r="E119" s="140">
        <v>317900</v>
      </c>
      <c r="F119" s="17"/>
      <c r="G119" s="17">
        <f>+F118</f>
        <v>1220.5999999999999</v>
      </c>
      <c r="H119" s="17">
        <f>4.452*365</f>
        <v>1624.98</v>
      </c>
      <c r="I119" s="140"/>
      <c r="J119" s="93">
        <f t="shared" si="38"/>
        <v>388028740</v>
      </c>
      <c r="K119" s="93">
        <f t="shared" si="39"/>
        <v>516581142</v>
      </c>
      <c r="L119" s="15"/>
      <c r="M119" s="224"/>
      <c r="N119" s="195"/>
      <c r="O119" s="211"/>
      <c r="P119" s="211"/>
      <c r="Q119" s="80"/>
      <c r="R119" s="80"/>
      <c r="S119" s="80"/>
      <c r="T119" s="80"/>
      <c r="U119" s="80"/>
      <c r="V119" s="80"/>
      <c r="W119" s="80"/>
    </row>
    <row r="120" spans="1:28" s="79" customFormat="1" ht="51" customHeight="1" x14ac:dyDescent="0.2">
      <c r="A120" s="13" t="s">
        <v>23</v>
      </c>
      <c r="B120" s="14" t="s">
        <v>147</v>
      </c>
      <c r="C120" s="13" t="s">
        <v>46</v>
      </c>
      <c r="D120" s="140"/>
      <c r="E120" s="140">
        <v>272100</v>
      </c>
      <c r="F120" s="17"/>
      <c r="G120" s="17">
        <f>+G119</f>
        <v>1220.5999999999999</v>
      </c>
      <c r="H120" s="17">
        <f>+H119</f>
        <v>1624.98</v>
      </c>
      <c r="I120" s="140"/>
      <c r="J120" s="93">
        <f t="shared" si="38"/>
        <v>332125260</v>
      </c>
      <c r="K120" s="93">
        <f t="shared" si="39"/>
        <v>442157058</v>
      </c>
      <c r="L120" s="15"/>
      <c r="M120" s="224"/>
      <c r="N120" s="195"/>
      <c r="O120" s="211"/>
      <c r="P120" s="211"/>
      <c r="Q120" s="80"/>
      <c r="R120" s="80"/>
      <c r="S120" s="80"/>
      <c r="T120" s="80"/>
      <c r="U120" s="80"/>
      <c r="V120" s="80"/>
      <c r="W120" s="80"/>
    </row>
    <row r="121" spans="1:28" s="237" customFormat="1" ht="31.5" customHeight="1" x14ac:dyDescent="0.2">
      <c r="A121" s="231">
        <v>5</v>
      </c>
      <c r="B121" s="232" t="s">
        <v>49</v>
      </c>
      <c r="C121" s="231" t="s">
        <v>44</v>
      </c>
      <c r="D121" s="235">
        <v>421599</v>
      </c>
      <c r="E121" s="235">
        <f>+D121</f>
        <v>421599</v>
      </c>
      <c r="F121" s="234">
        <v>925.52</v>
      </c>
      <c r="G121" s="234">
        <f>+F121</f>
        <v>925.52</v>
      </c>
      <c r="H121" s="234" t="e">
        <f>(#REF!+#REF!+#REF!+#REF!)/1000</f>
        <v>#REF!</v>
      </c>
      <c r="I121" s="235">
        <f>D121*F121</f>
        <v>390198306.48000002</v>
      </c>
      <c r="J121" s="235">
        <f t="shared" si="38"/>
        <v>390198306.48000002</v>
      </c>
      <c r="K121" s="235" t="e">
        <f t="shared" si="39"/>
        <v>#REF!</v>
      </c>
      <c r="L121" s="243"/>
      <c r="M121" s="244" t="e">
        <f>K121-I121</f>
        <v>#REF!</v>
      </c>
      <c r="N121" s="244"/>
      <c r="O121" s="245"/>
      <c r="P121" s="246"/>
    </row>
    <row r="122" spans="1:28" s="79" customFormat="1" ht="35.25" customHeight="1" x14ac:dyDescent="0.2">
      <c r="A122" s="61">
        <v>6</v>
      </c>
      <c r="B122" s="62" t="s">
        <v>50</v>
      </c>
      <c r="C122" s="61" t="s">
        <v>44</v>
      </c>
      <c r="D122" s="140">
        <v>843198</v>
      </c>
      <c r="E122" s="140">
        <f>+D122</f>
        <v>843198</v>
      </c>
      <c r="F122" s="86">
        <v>106.34</v>
      </c>
      <c r="G122" s="86">
        <f>+F122</f>
        <v>106.34</v>
      </c>
      <c r="H122" s="86">
        <f>G122</f>
        <v>106.34</v>
      </c>
      <c r="I122" s="93">
        <f>D122*F122</f>
        <v>89665675.320000008</v>
      </c>
      <c r="J122" s="93">
        <f t="shared" si="38"/>
        <v>89665675.320000008</v>
      </c>
      <c r="K122" s="93">
        <f t="shared" si="39"/>
        <v>89665675.320000008</v>
      </c>
      <c r="L122" s="164"/>
      <c r="M122" s="193"/>
      <c r="N122" s="193"/>
      <c r="O122" s="88"/>
      <c r="P122" s="87"/>
      <c r="Q122" s="80"/>
      <c r="R122" s="80"/>
      <c r="S122" s="80"/>
      <c r="T122" s="80"/>
      <c r="U122" s="80"/>
      <c r="V122" s="80"/>
      <c r="W122" s="80"/>
    </row>
    <row r="123" spans="1:28" s="34" customFormat="1" ht="31.5" customHeight="1" x14ac:dyDescent="0.2">
      <c r="A123" s="53" t="s">
        <v>51</v>
      </c>
      <c r="B123" s="7" t="s">
        <v>52</v>
      </c>
      <c r="C123" s="63"/>
      <c r="D123" s="102"/>
      <c r="E123" s="102"/>
      <c r="F123" s="82"/>
      <c r="G123" s="82"/>
      <c r="H123" s="82"/>
      <c r="I123" s="85">
        <f t="shared" ref="I123:J123" si="41">I124+I129+I133+I137+I141+I145+I149+I153+I157</f>
        <v>555321745.43999994</v>
      </c>
      <c r="J123" s="85">
        <f t="shared" si="41"/>
        <v>359248591.80000007</v>
      </c>
      <c r="K123" s="85">
        <f t="shared" ref="K123" si="42">K124+K129+K133+K137+K141+K145+K149+K153+K157</f>
        <v>359248591.80000007</v>
      </c>
      <c r="L123" s="165"/>
      <c r="M123" s="194"/>
      <c r="N123" s="194"/>
      <c r="O123" s="89" t="e">
        <f>+#REF!+#REF!</f>
        <v>#REF!</v>
      </c>
      <c r="P123" s="184"/>
      <c r="Q123" s="184"/>
      <c r="R123" s="184"/>
      <c r="S123" s="184"/>
      <c r="T123" s="184"/>
      <c r="U123" s="184"/>
      <c r="V123" s="184"/>
      <c r="W123" s="184"/>
    </row>
    <row r="124" spans="1:28" s="34" customFormat="1" ht="27" customHeight="1" x14ac:dyDescent="0.2">
      <c r="A124" s="53">
        <v>1</v>
      </c>
      <c r="B124" s="7" t="s">
        <v>74</v>
      </c>
      <c r="C124" s="63"/>
      <c r="D124" s="102"/>
      <c r="E124" s="102"/>
      <c r="F124" s="82"/>
      <c r="G124" s="82"/>
      <c r="H124" s="82"/>
      <c r="I124" s="85">
        <f t="shared" ref="I124:J124" si="43">SUM(I125:I128)</f>
        <v>63850767.600000001</v>
      </c>
      <c r="J124" s="85">
        <f t="shared" si="43"/>
        <v>40458254.399999999</v>
      </c>
      <c r="K124" s="85">
        <f t="shared" ref="K124" si="44">SUM(K125:K128)</f>
        <v>40458254.399999999</v>
      </c>
      <c r="L124" s="165"/>
      <c r="M124" s="194"/>
      <c r="N124" s="194"/>
      <c r="O124" s="89"/>
      <c r="P124" s="184"/>
      <c r="Q124" s="184"/>
      <c r="R124" s="184"/>
      <c r="S124" s="184"/>
      <c r="T124" s="184"/>
      <c r="U124" s="184"/>
      <c r="V124" s="184"/>
      <c r="W124" s="184"/>
    </row>
    <row r="125" spans="1:28" s="35" customFormat="1" ht="30" customHeight="1" x14ac:dyDescent="0.2">
      <c r="A125" s="55" t="s">
        <v>23</v>
      </c>
      <c r="B125" s="176" t="s">
        <v>53</v>
      </c>
      <c r="C125" s="91" t="s">
        <v>75</v>
      </c>
      <c r="D125" s="140">
        <v>59331</v>
      </c>
      <c r="E125" s="140">
        <v>39015</v>
      </c>
      <c r="F125" s="66">
        <v>266.68</v>
      </c>
      <c r="G125" s="66">
        <f>+F125</f>
        <v>266.68</v>
      </c>
      <c r="H125" s="66">
        <f>G125</f>
        <v>266.68</v>
      </c>
      <c r="I125" s="93">
        <f>D125*F125</f>
        <v>15822391.08</v>
      </c>
      <c r="J125" s="93">
        <f>E125*G125</f>
        <v>10404520.200000001</v>
      </c>
      <c r="K125" s="93">
        <f>E125*H125</f>
        <v>10404520.200000001</v>
      </c>
      <c r="L125" s="163"/>
      <c r="M125" s="195"/>
      <c r="N125" s="195"/>
      <c r="O125" s="92">
        <v>1168.1600000000001</v>
      </c>
      <c r="P125" s="80">
        <v>1168.1600000000001</v>
      </c>
      <c r="Q125" s="80">
        <v>1168.1600000000001</v>
      </c>
      <c r="R125" s="80">
        <v>1168.1600000000001</v>
      </c>
      <c r="S125" s="80">
        <v>277232000</v>
      </c>
      <c r="T125" s="80">
        <v>69308000</v>
      </c>
      <c r="U125" s="80">
        <v>69308000</v>
      </c>
      <c r="V125" s="80">
        <v>69308000</v>
      </c>
      <c r="W125" s="80">
        <v>69308000</v>
      </c>
      <c r="Y125" s="35">
        <v>1168.1600000000001</v>
      </c>
      <c r="Z125" s="35">
        <v>1168.1600000000001</v>
      </c>
      <c r="AA125" s="35">
        <v>1168.1600000000001</v>
      </c>
      <c r="AB125" s="35">
        <v>1168.1600000000001</v>
      </c>
    </row>
    <row r="126" spans="1:28" s="35" customFormat="1" ht="25.5" customHeight="1" x14ac:dyDescent="0.2">
      <c r="A126" s="55" t="s">
        <v>23</v>
      </c>
      <c r="B126" s="176" t="s">
        <v>54</v>
      </c>
      <c r="C126" s="91" t="s">
        <v>76</v>
      </c>
      <c r="D126" s="140">
        <v>205360</v>
      </c>
      <c r="E126" s="140">
        <v>126034</v>
      </c>
      <c r="F126" s="66">
        <v>66.400000000000006</v>
      </c>
      <c r="G126" s="66">
        <f>+F126</f>
        <v>66.400000000000006</v>
      </c>
      <c r="H126" s="66">
        <f t="shared" ref="H126:H128" si="45">G126</f>
        <v>66.400000000000006</v>
      </c>
      <c r="I126" s="93">
        <f>D126*F126</f>
        <v>13635904.000000002</v>
      </c>
      <c r="J126" s="93">
        <f t="shared" ref="J126:J128" si="46">E126*G126</f>
        <v>8368657.6000000006</v>
      </c>
      <c r="K126" s="93">
        <f t="shared" ref="K126:K128" si="47">E126*H126</f>
        <v>8368657.6000000006</v>
      </c>
      <c r="L126" s="163"/>
      <c r="M126" s="195"/>
      <c r="N126" s="195"/>
      <c r="O126" s="92">
        <v>292.04149999999998</v>
      </c>
      <c r="P126" s="80">
        <v>292.04149999999998</v>
      </c>
      <c r="Q126" s="80">
        <v>292.04149999999998</v>
      </c>
      <c r="R126" s="80">
        <v>292.04149999999998</v>
      </c>
      <c r="S126" s="80">
        <v>239892000</v>
      </c>
      <c r="T126" s="80"/>
      <c r="U126" s="80"/>
      <c r="V126" s="80"/>
      <c r="W126" s="80"/>
    </row>
    <row r="127" spans="1:28" s="35" customFormat="1" ht="33" customHeight="1" x14ac:dyDescent="0.2">
      <c r="A127" s="55" t="s">
        <v>23</v>
      </c>
      <c r="B127" s="176" t="s">
        <v>55</v>
      </c>
      <c r="C127" s="91" t="s">
        <v>76</v>
      </c>
      <c r="D127" s="140">
        <v>69422</v>
      </c>
      <c r="E127" s="140">
        <v>55132</v>
      </c>
      <c r="F127" s="66">
        <v>33.340000000000003</v>
      </c>
      <c r="G127" s="66">
        <f>+F127</f>
        <v>33.340000000000003</v>
      </c>
      <c r="H127" s="66">
        <f t="shared" si="45"/>
        <v>33.340000000000003</v>
      </c>
      <c r="I127" s="93">
        <f>D127*F127</f>
        <v>2314529.4800000004</v>
      </c>
      <c r="J127" s="93">
        <f t="shared" si="46"/>
        <v>1838100.8800000001</v>
      </c>
      <c r="K127" s="93">
        <f t="shared" si="47"/>
        <v>1838100.8800000001</v>
      </c>
      <c r="L127" s="163"/>
      <c r="M127" s="195"/>
      <c r="N127" s="195"/>
      <c r="O127" s="92">
        <v>292.04149999999998</v>
      </c>
      <c r="P127" s="80">
        <v>0</v>
      </c>
      <c r="Q127" s="80">
        <v>292.04149999999998</v>
      </c>
      <c r="R127" s="80">
        <v>40550000</v>
      </c>
      <c r="S127" s="80">
        <v>40550000</v>
      </c>
      <c r="T127" s="80">
        <v>20275000</v>
      </c>
      <c r="U127" s="80">
        <v>0</v>
      </c>
      <c r="V127" s="80">
        <v>20275000</v>
      </c>
      <c r="W127" s="80"/>
    </row>
    <row r="128" spans="1:28" s="35" customFormat="1" ht="25.5" customHeight="1" x14ac:dyDescent="0.2">
      <c r="A128" s="55" t="s">
        <v>23</v>
      </c>
      <c r="B128" s="176" t="s">
        <v>56</v>
      </c>
      <c r="C128" s="91" t="s">
        <v>77</v>
      </c>
      <c r="D128" s="140">
        <v>5608032</v>
      </c>
      <c r="E128" s="140">
        <v>3469751</v>
      </c>
      <c r="F128" s="66">
        <v>5.72</v>
      </c>
      <c r="G128" s="66">
        <f>+F128</f>
        <v>5.72</v>
      </c>
      <c r="H128" s="66">
        <f t="shared" si="45"/>
        <v>5.72</v>
      </c>
      <c r="I128" s="93">
        <f>D128*F128</f>
        <v>32077943.039999999</v>
      </c>
      <c r="J128" s="93">
        <f t="shared" si="46"/>
        <v>19846975.719999999</v>
      </c>
      <c r="K128" s="93">
        <f t="shared" si="47"/>
        <v>19846975.719999999</v>
      </c>
      <c r="L128" s="163"/>
      <c r="M128" s="195"/>
      <c r="N128" s="195"/>
      <c r="O128" s="92">
        <v>2.26031</v>
      </c>
      <c r="P128" s="80">
        <v>2.26031</v>
      </c>
      <c r="Q128" s="80">
        <v>2.26031</v>
      </c>
      <c r="R128" s="80">
        <v>2.26031</v>
      </c>
      <c r="S128" s="80">
        <v>50696000</v>
      </c>
      <c r="T128" s="80">
        <v>12674000</v>
      </c>
      <c r="U128" s="80"/>
      <c r="V128" s="80"/>
      <c r="W128" s="80"/>
    </row>
    <row r="129" spans="1:23" s="34" customFormat="1" ht="28.5" customHeight="1" x14ac:dyDescent="0.2">
      <c r="A129" s="53">
        <v>2</v>
      </c>
      <c r="B129" s="7" t="s">
        <v>78</v>
      </c>
      <c r="C129" s="63"/>
      <c r="D129" s="102"/>
      <c r="E129" s="102"/>
      <c r="F129" s="82"/>
      <c r="G129" s="82"/>
      <c r="H129" s="82"/>
      <c r="I129" s="85">
        <f t="shared" ref="I129:K129" si="48">SUM(I130:I132)</f>
        <v>73788544.439999998</v>
      </c>
      <c r="J129" s="85">
        <f t="shared" si="48"/>
        <v>47862610.199999996</v>
      </c>
      <c r="K129" s="85">
        <f t="shared" si="48"/>
        <v>47862610.199999996</v>
      </c>
      <c r="L129" s="165"/>
      <c r="M129" s="194"/>
      <c r="N129" s="194"/>
      <c r="O129" s="89"/>
      <c r="P129" s="184"/>
      <c r="Q129" s="184"/>
      <c r="R129" s="184"/>
      <c r="S129" s="184">
        <v>861751000</v>
      </c>
      <c r="T129" s="184"/>
      <c r="U129" s="184"/>
      <c r="V129" s="184"/>
      <c r="W129" s="184"/>
    </row>
    <row r="130" spans="1:23" s="35" customFormat="1" ht="36.75" customHeight="1" x14ac:dyDescent="0.2">
      <c r="A130" s="55" t="s">
        <v>23</v>
      </c>
      <c r="B130" s="90" t="s">
        <v>79</v>
      </c>
      <c r="C130" s="91" t="s">
        <v>75</v>
      </c>
      <c r="D130" s="140">
        <v>59331</v>
      </c>
      <c r="E130" s="140">
        <v>39015</v>
      </c>
      <c r="F130" s="93">
        <v>618.28</v>
      </c>
      <c r="G130" s="93">
        <f>+F130</f>
        <v>618.28</v>
      </c>
      <c r="H130" s="93">
        <f>G130</f>
        <v>618.28</v>
      </c>
      <c r="I130" s="93">
        <f>D130*F130</f>
        <v>36683170.68</v>
      </c>
      <c r="J130" s="93">
        <f>E130*G130</f>
        <v>24122194.199999999</v>
      </c>
      <c r="K130" s="93">
        <f>E130*H130</f>
        <v>24122194.199999999</v>
      </c>
      <c r="L130" s="163"/>
      <c r="M130" s="195"/>
      <c r="N130" s="195"/>
      <c r="O130" s="92"/>
      <c r="P130" s="80"/>
      <c r="Q130" s="80"/>
      <c r="R130" s="80"/>
      <c r="S130" s="80"/>
      <c r="T130" s="80"/>
      <c r="U130" s="80"/>
      <c r="V130" s="80"/>
      <c r="W130" s="80"/>
    </row>
    <row r="131" spans="1:23" s="35" customFormat="1" ht="32.25" customHeight="1" x14ac:dyDescent="0.2">
      <c r="A131" s="55" t="s">
        <v>23</v>
      </c>
      <c r="B131" s="90" t="s">
        <v>54</v>
      </c>
      <c r="C131" s="91" t="s">
        <v>76</v>
      </c>
      <c r="D131" s="140">
        <v>205360</v>
      </c>
      <c r="E131" s="140">
        <v>126034</v>
      </c>
      <c r="F131" s="93">
        <v>154.56</v>
      </c>
      <c r="G131" s="93">
        <f t="shared" ref="G131:G132" si="49">+F131</f>
        <v>154.56</v>
      </c>
      <c r="H131" s="93">
        <f t="shared" ref="H131:H132" si="50">G131</f>
        <v>154.56</v>
      </c>
      <c r="I131" s="93">
        <f>D131*F131</f>
        <v>31740441.600000001</v>
      </c>
      <c r="J131" s="93">
        <f t="shared" ref="J131:J132" si="51">E131*G131</f>
        <v>19479815.039999999</v>
      </c>
      <c r="K131" s="93">
        <f t="shared" ref="K131:K132" si="52">E131*H131</f>
        <v>19479815.039999999</v>
      </c>
      <c r="L131" s="163"/>
      <c r="M131" s="195"/>
      <c r="N131" s="195"/>
      <c r="O131" s="92"/>
      <c r="P131" s="80"/>
      <c r="Q131" s="80"/>
      <c r="R131" s="80"/>
      <c r="S131" s="80"/>
      <c r="T131" s="80"/>
      <c r="U131" s="80"/>
      <c r="V131" s="80"/>
      <c r="W131" s="80"/>
    </row>
    <row r="132" spans="1:23" s="35" customFormat="1" ht="34.5" customHeight="1" x14ac:dyDescent="0.2">
      <c r="A132" s="55" t="s">
        <v>23</v>
      </c>
      <c r="B132" s="90" t="s">
        <v>55</v>
      </c>
      <c r="C132" s="91" t="s">
        <v>76</v>
      </c>
      <c r="D132" s="140">
        <v>69422</v>
      </c>
      <c r="E132" s="140">
        <v>55132</v>
      </c>
      <c r="F132" s="93">
        <v>77.28</v>
      </c>
      <c r="G132" s="93">
        <f t="shared" si="49"/>
        <v>77.28</v>
      </c>
      <c r="H132" s="93">
        <f t="shared" si="50"/>
        <v>77.28</v>
      </c>
      <c r="I132" s="93">
        <f>D132*F132</f>
        <v>5364932.16</v>
      </c>
      <c r="J132" s="93">
        <f t="shared" si="51"/>
        <v>4260600.96</v>
      </c>
      <c r="K132" s="93">
        <f t="shared" si="52"/>
        <v>4260600.96</v>
      </c>
      <c r="L132" s="163"/>
      <c r="M132" s="195"/>
      <c r="N132" s="195"/>
      <c r="O132" s="92"/>
      <c r="P132" s="80"/>
      <c r="Q132" s="80"/>
      <c r="R132" s="80"/>
      <c r="S132" s="80"/>
      <c r="T132" s="80"/>
      <c r="U132" s="80"/>
      <c r="V132" s="80"/>
      <c r="W132" s="80"/>
    </row>
    <row r="133" spans="1:23" s="34" customFormat="1" ht="25.5" customHeight="1" x14ac:dyDescent="0.2">
      <c r="A133" s="53">
        <v>4</v>
      </c>
      <c r="B133" s="7" t="s">
        <v>80</v>
      </c>
      <c r="C133" s="63"/>
      <c r="D133" s="102"/>
      <c r="E133" s="102"/>
      <c r="F133" s="95"/>
      <c r="G133" s="95"/>
      <c r="H133" s="95"/>
      <c r="I133" s="85">
        <f t="shared" ref="I133:K133" si="53">SUM(I134:I136)</f>
        <v>50794828</v>
      </c>
      <c r="J133" s="85">
        <f t="shared" si="53"/>
        <v>32947824</v>
      </c>
      <c r="K133" s="85">
        <f t="shared" si="53"/>
        <v>32947824</v>
      </c>
      <c r="L133" s="165"/>
      <c r="M133" s="194"/>
      <c r="N133" s="194"/>
      <c r="O133" s="89"/>
      <c r="P133" s="184"/>
      <c r="Q133" s="184"/>
      <c r="R133" s="184"/>
      <c r="S133" s="184"/>
      <c r="T133" s="184"/>
      <c r="U133" s="184"/>
      <c r="V133" s="184"/>
      <c r="W133" s="184"/>
    </row>
    <row r="134" spans="1:23" s="35" customFormat="1" ht="36" customHeight="1" x14ac:dyDescent="0.2">
      <c r="A134" s="55" t="s">
        <v>23</v>
      </c>
      <c r="B134" s="90" t="s">
        <v>79</v>
      </c>
      <c r="C134" s="91" t="s">
        <v>75</v>
      </c>
      <c r="D134" s="140">
        <v>59331</v>
      </c>
      <c r="E134" s="140">
        <v>39015</v>
      </c>
      <c r="F134" s="93">
        <v>425.6</v>
      </c>
      <c r="G134" s="93">
        <f>+F134</f>
        <v>425.6</v>
      </c>
      <c r="H134" s="93">
        <f>G134</f>
        <v>425.6</v>
      </c>
      <c r="I134" s="93">
        <f>D134*F134</f>
        <v>25251273.600000001</v>
      </c>
      <c r="J134" s="93">
        <f>E134*G134</f>
        <v>16604784</v>
      </c>
      <c r="K134" s="93">
        <f>E134*H134</f>
        <v>16604784</v>
      </c>
      <c r="L134" s="163"/>
      <c r="M134" s="195"/>
      <c r="N134" s="195"/>
      <c r="O134" s="92"/>
      <c r="P134" s="80"/>
      <c r="Q134" s="80"/>
      <c r="R134" s="80"/>
      <c r="S134" s="80"/>
      <c r="T134" s="80"/>
      <c r="U134" s="80"/>
      <c r="V134" s="80"/>
      <c r="W134" s="80"/>
    </row>
    <row r="135" spans="1:23" s="35" customFormat="1" ht="38.25" customHeight="1" x14ac:dyDescent="0.2">
      <c r="A135" s="55" t="s">
        <v>23</v>
      </c>
      <c r="B135" s="90" t="s">
        <v>55</v>
      </c>
      <c r="C135" s="91" t="s">
        <v>76</v>
      </c>
      <c r="D135" s="140">
        <v>69422</v>
      </c>
      <c r="E135" s="140">
        <v>55132</v>
      </c>
      <c r="F135" s="93">
        <v>53.2</v>
      </c>
      <c r="G135" s="93">
        <f t="shared" ref="G135:G136" si="54">+F135</f>
        <v>53.2</v>
      </c>
      <c r="H135" s="93">
        <f t="shared" ref="H135:H136" si="55">G135</f>
        <v>53.2</v>
      </c>
      <c r="I135" s="93">
        <f>D135*F135</f>
        <v>3693250.4000000004</v>
      </c>
      <c r="J135" s="93">
        <f t="shared" ref="J135:J136" si="56">E135*G135</f>
        <v>2933022.4000000004</v>
      </c>
      <c r="K135" s="93">
        <f t="shared" ref="K135:K136" si="57">E135*H135</f>
        <v>2933022.4000000004</v>
      </c>
      <c r="L135" s="163"/>
      <c r="M135" s="195"/>
      <c r="N135" s="195"/>
      <c r="O135" s="92"/>
      <c r="P135" s="80"/>
      <c r="Q135" s="80"/>
      <c r="R135" s="80"/>
      <c r="S135" s="80"/>
      <c r="T135" s="80"/>
      <c r="U135" s="80"/>
      <c r="V135" s="80"/>
      <c r="W135" s="80"/>
    </row>
    <row r="136" spans="1:23" s="35" customFormat="1" ht="36.75" customHeight="1" x14ac:dyDescent="0.2">
      <c r="A136" s="55" t="s">
        <v>23</v>
      </c>
      <c r="B136" s="90" t="s">
        <v>54</v>
      </c>
      <c r="C136" s="91" t="s">
        <v>76</v>
      </c>
      <c r="D136" s="140">
        <v>205360</v>
      </c>
      <c r="E136" s="140">
        <v>126034</v>
      </c>
      <c r="F136" s="93">
        <v>106.4</v>
      </c>
      <c r="G136" s="93">
        <f t="shared" si="54"/>
        <v>106.4</v>
      </c>
      <c r="H136" s="93">
        <f t="shared" si="55"/>
        <v>106.4</v>
      </c>
      <c r="I136" s="93">
        <f>D136*F136</f>
        <v>21850304</v>
      </c>
      <c r="J136" s="93">
        <f t="shared" si="56"/>
        <v>13410017.600000001</v>
      </c>
      <c r="K136" s="93">
        <f t="shared" si="57"/>
        <v>13410017.600000001</v>
      </c>
      <c r="L136" s="163"/>
      <c r="M136" s="195"/>
      <c r="N136" s="195"/>
      <c r="O136" s="92"/>
      <c r="P136" s="80"/>
      <c r="Q136" s="80"/>
      <c r="R136" s="80"/>
      <c r="S136" s="80"/>
      <c r="T136" s="80"/>
      <c r="U136" s="80"/>
      <c r="V136" s="80"/>
      <c r="W136" s="80"/>
    </row>
    <row r="137" spans="1:23" s="34" customFormat="1" ht="25.5" customHeight="1" x14ac:dyDescent="0.2">
      <c r="A137" s="53">
        <v>5</v>
      </c>
      <c r="B137" s="7" t="s">
        <v>81</v>
      </c>
      <c r="C137" s="63"/>
      <c r="D137" s="102"/>
      <c r="E137" s="102"/>
      <c r="F137" s="95"/>
      <c r="G137" s="95"/>
      <c r="H137" s="95"/>
      <c r="I137" s="85">
        <f t="shared" ref="I137:K137" si="58">SUM(I138:I140)</f>
        <v>11476575.800000001</v>
      </c>
      <c r="J137" s="85">
        <f t="shared" si="58"/>
        <v>7444226.4000000004</v>
      </c>
      <c r="K137" s="85">
        <f t="shared" si="58"/>
        <v>7444226.4000000004</v>
      </c>
      <c r="L137" s="165"/>
      <c r="M137" s="194"/>
      <c r="N137" s="194"/>
      <c r="O137" s="89"/>
      <c r="P137" s="184"/>
      <c r="Q137" s="184"/>
      <c r="R137" s="184"/>
      <c r="S137" s="184"/>
      <c r="T137" s="184"/>
      <c r="U137" s="184"/>
      <c r="V137" s="184"/>
      <c r="W137" s="184"/>
    </row>
    <row r="138" spans="1:23" s="35" customFormat="1" ht="32.25" customHeight="1" x14ac:dyDescent="0.2">
      <c r="A138" s="55" t="s">
        <v>23</v>
      </c>
      <c r="B138" s="90" t="s">
        <v>79</v>
      </c>
      <c r="C138" s="91" t="s">
        <v>75</v>
      </c>
      <c r="D138" s="140">
        <v>59331</v>
      </c>
      <c r="E138" s="140">
        <v>39015</v>
      </c>
      <c r="F138" s="93">
        <v>96.16</v>
      </c>
      <c r="G138" s="93">
        <f>F138</f>
        <v>96.16</v>
      </c>
      <c r="H138" s="93">
        <f>G138</f>
        <v>96.16</v>
      </c>
      <c r="I138" s="93">
        <f>+D138*F138</f>
        <v>5705268.96</v>
      </c>
      <c r="J138" s="93">
        <f>E138*G138</f>
        <v>3751682.4</v>
      </c>
      <c r="K138" s="93">
        <f>E138*H138</f>
        <v>3751682.4</v>
      </c>
      <c r="L138" s="163"/>
      <c r="M138" s="195"/>
      <c r="N138" s="195"/>
      <c r="O138" s="92"/>
      <c r="P138" s="80"/>
      <c r="Q138" s="80"/>
      <c r="R138" s="80"/>
      <c r="S138" s="80"/>
      <c r="T138" s="80"/>
      <c r="U138" s="80"/>
      <c r="V138" s="80"/>
      <c r="W138" s="80"/>
    </row>
    <row r="139" spans="1:23" s="35" customFormat="1" ht="33.75" customHeight="1" x14ac:dyDescent="0.2">
      <c r="A139" s="55" t="s">
        <v>23</v>
      </c>
      <c r="B139" s="90" t="s">
        <v>55</v>
      </c>
      <c r="C139" s="91" t="s">
        <v>76</v>
      </c>
      <c r="D139" s="140">
        <v>69422</v>
      </c>
      <c r="E139" s="140">
        <v>55132</v>
      </c>
      <c r="F139" s="93">
        <v>12.02</v>
      </c>
      <c r="G139" s="93">
        <f t="shared" ref="G139:H140" si="59">F139</f>
        <v>12.02</v>
      </c>
      <c r="H139" s="93">
        <f t="shared" si="59"/>
        <v>12.02</v>
      </c>
      <c r="I139" s="93">
        <f>+D139*F139</f>
        <v>834452.44</v>
      </c>
      <c r="J139" s="93">
        <f t="shared" ref="J139:J140" si="60">E139*G139</f>
        <v>662686.64</v>
      </c>
      <c r="K139" s="93">
        <f t="shared" ref="K139:K140" si="61">E139*H139</f>
        <v>662686.64</v>
      </c>
      <c r="L139" s="163"/>
      <c r="M139" s="195"/>
      <c r="N139" s="195"/>
      <c r="O139" s="92"/>
      <c r="P139" s="80"/>
      <c r="Q139" s="80"/>
      <c r="R139" s="80"/>
      <c r="S139" s="80"/>
      <c r="T139" s="80"/>
      <c r="U139" s="80"/>
      <c r="V139" s="80"/>
      <c r="W139" s="80"/>
    </row>
    <row r="140" spans="1:23" s="35" customFormat="1" ht="32.25" customHeight="1" x14ac:dyDescent="0.2">
      <c r="A140" s="55" t="s">
        <v>23</v>
      </c>
      <c r="B140" s="90" t="s">
        <v>54</v>
      </c>
      <c r="C140" s="91" t="s">
        <v>76</v>
      </c>
      <c r="D140" s="140">
        <v>205360</v>
      </c>
      <c r="E140" s="140">
        <v>126034</v>
      </c>
      <c r="F140" s="93">
        <v>24.04</v>
      </c>
      <c r="G140" s="93">
        <f t="shared" si="59"/>
        <v>24.04</v>
      </c>
      <c r="H140" s="93">
        <f t="shared" si="59"/>
        <v>24.04</v>
      </c>
      <c r="I140" s="93">
        <f>+D140*F140</f>
        <v>4936854.3999999994</v>
      </c>
      <c r="J140" s="93">
        <f t="shared" si="60"/>
        <v>3029857.36</v>
      </c>
      <c r="K140" s="93">
        <f t="shared" si="61"/>
        <v>3029857.36</v>
      </c>
      <c r="L140" s="163"/>
      <c r="M140" s="195"/>
      <c r="N140" s="195"/>
      <c r="O140" s="92"/>
      <c r="P140" s="80"/>
      <c r="Q140" s="80"/>
      <c r="R140" s="80"/>
      <c r="S140" s="80"/>
      <c r="T140" s="80"/>
      <c r="U140" s="80"/>
      <c r="V140" s="80"/>
      <c r="W140" s="80"/>
    </row>
    <row r="141" spans="1:23" s="34" customFormat="1" ht="25.5" customHeight="1" x14ac:dyDescent="0.2">
      <c r="A141" s="53">
        <v>6</v>
      </c>
      <c r="B141" s="7" t="s">
        <v>82</v>
      </c>
      <c r="C141" s="63"/>
      <c r="D141" s="102"/>
      <c r="E141" s="102"/>
      <c r="F141" s="95"/>
      <c r="G141" s="95"/>
      <c r="H141" s="95"/>
      <c r="I141" s="85">
        <f t="shared" ref="I141:K141" si="62">SUM(I142:I144)</f>
        <v>35785529.199999996</v>
      </c>
      <c r="J141" s="85">
        <f t="shared" si="62"/>
        <v>23212113.599999998</v>
      </c>
      <c r="K141" s="85">
        <f t="shared" si="62"/>
        <v>23212113.599999998</v>
      </c>
      <c r="L141" s="165"/>
      <c r="M141" s="194"/>
      <c r="N141" s="194"/>
      <c r="O141" s="89"/>
      <c r="P141" s="184"/>
      <c r="Q141" s="184"/>
      <c r="R141" s="184"/>
      <c r="S141" s="184"/>
      <c r="T141" s="184"/>
      <c r="U141" s="184"/>
      <c r="V141" s="184"/>
      <c r="W141" s="184"/>
    </row>
    <row r="142" spans="1:23" s="35" customFormat="1" ht="35.25" customHeight="1" x14ac:dyDescent="0.2">
      <c r="A142" s="55" t="s">
        <v>23</v>
      </c>
      <c r="B142" s="90" t="s">
        <v>79</v>
      </c>
      <c r="C142" s="91" t="s">
        <v>75</v>
      </c>
      <c r="D142" s="140">
        <v>59331</v>
      </c>
      <c r="E142" s="140">
        <v>39015</v>
      </c>
      <c r="F142" s="93">
        <v>299.83999999999997</v>
      </c>
      <c r="G142" s="93">
        <f>F142</f>
        <v>299.83999999999997</v>
      </c>
      <c r="H142" s="93">
        <f>G142</f>
        <v>299.83999999999997</v>
      </c>
      <c r="I142" s="93">
        <f>D142*F142</f>
        <v>17789807.039999999</v>
      </c>
      <c r="J142" s="93">
        <f>E142*G142</f>
        <v>11698257.6</v>
      </c>
      <c r="K142" s="93">
        <f>E142*H142</f>
        <v>11698257.6</v>
      </c>
      <c r="L142" s="163"/>
      <c r="M142" s="195"/>
      <c r="N142" s="195"/>
      <c r="O142" s="92"/>
      <c r="P142" s="80"/>
      <c r="Q142" s="80"/>
      <c r="R142" s="80"/>
      <c r="S142" s="80"/>
      <c r="T142" s="80"/>
      <c r="U142" s="80"/>
      <c r="V142" s="80"/>
      <c r="W142" s="80"/>
    </row>
    <row r="143" spans="1:23" s="35" customFormat="1" ht="30.75" customHeight="1" x14ac:dyDescent="0.2">
      <c r="A143" s="55" t="s">
        <v>23</v>
      </c>
      <c r="B143" s="90" t="s">
        <v>55</v>
      </c>
      <c r="C143" s="91" t="s">
        <v>76</v>
      </c>
      <c r="D143" s="140">
        <v>69422</v>
      </c>
      <c r="E143" s="140">
        <v>55132</v>
      </c>
      <c r="F143" s="93">
        <v>37.479999999999997</v>
      </c>
      <c r="G143" s="93">
        <f t="shared" ref="G143:H144" si="63">F143</f>
        <v>37.479999999999997</v>
      </c>
      <c r="H143" s="93">
        <f t="shared" si="63"/>
        <v>37.479999999999997</v>
      </c>
      <c r="I143" s="93">
        <f>D143*F143</f>
        <v>2601936.5599999996</v>
      </c>
      <c r="J143" s="93">
        <f t="shared" ref="J143:J144" si="64">E143*G143</f>
        <v>2066347.3599999999</v>
      </c>
      <c r="K143" s="93">
        <f t="shared" ref="K143:K144" si="65">E143*H143</f>
        <v>2066347.3599999999</v>
      </c>
      <c r="L143" s="163"/>
      <c r="M143" s="195"/>
      <c r="N143" s="195"/>
      <c r="O143" s="92"/>
      <c r="P143" s="80"/>
      <c r="Q143" s="80"/>
      <c r="R143" s="80"/>
      <c r="S143" s="80"/>
      <c r="T143" s="80"/>
      <c r="U143" s="80"/>
      <c r="V143" s="80"/>
      <c r="W143" s="80"/>
    </row>
    <row r="144" spans="1:23" s="35" customFormat="1" ht="27.75" customHeight="1" x14ac:dyDescent="0.2">
      <c r="A144" s="55" t="s">
        <v>23</v>
      </c>
      <c r="B144" s="90" t="s">
        <v>54</v>
      </c>
      <c r="C144" s="91" t="s">
        <v>76</v>
      </c>
      <c r="D144" s="140">
        <v>205360</v>
      </c>
      <c r="E144" s="140">
        <v>126034</v>
      </c>
      <c r="F144" s="93">
        <v>74.959999999999994</v>
      </c>
      <c r="G144" s="93">
        <f t="shared" si="63"/>
        <v>74.959999999999994</v>
      </c>
      <c r="H144" s="93">
        <f t="shared" si="63"/>
        <v>74.959999999999994</v>
      </c>
      <c r="I144" s="93">
        <f>D144*F144</f>
        <v>15393785.6</v>
      </c>
      <c r="J144" s="93">
        <f t="shared" si="64"/>
        <v>9447508.6399999987</v>
      </c>
      <c r="K144" s="93">
        <f t="shared" si="65"/>
        <v>9447508.6399999987</v>
      </c>
      <c r="L144" s="163"/>
      <c r="M144" s="195"/>
      <c r="N144" s="195"/>
      <c r="O144" s="92"/>
      <c r="P144" s="80"/>
      <c r="Q144" s="80"/>
      <c r="R144" s="80"/>
      <c r="S144" s="80"/>
      <c r="T144" s="80"/>
      <c r="U144" s="80"/>
      <c r="V144" s="80"/>
      <c r="W144" s="80"/>
    </row>
    <row r="145" spans="1:23" s="34" customFormat="1" ht="25.5" customHeight="1" x14ac:dyDescent="0.2">
      <c r="A145" s="53">
        <v>7</v>
      </c>
      <c r="B145" s="7" t="s">
        <v>83</v>
      </c>
      <c r="C145" s="63"/>
      <c r="D145" s="102"/>
      <c r="E145" s="102"/>
      <c r="F145" s="95"/>
      <c r="G145" s="95"/>
      <c r="H145" s="95"/>
      <c r="I145" s="85">
        <f t="shared" ref="I145:K145" si="66">SUM(I146:I148)</f>
        <v>41361502.799999997</v>
      </c>
      <c r="J145" s="85">
        <f t="shared" si="66"/>
        <v>26828942.399999999</v>
      </c>
      <c r="K145" s="85">
        <f t="shared" si="66"/>
        <v>26828942.399999999</v>
      </c>
      <c r="L145" s="165"/>
      <c r="M145" s="194"/>
      <c r="N145" s="194"/>
      <c r="O145" s="89"/>
      <c r="P145" s="184"/>
      <c r="Q145" s="184"/>
      <c r="R145" s="184"/>
      <c r="S145" s="184"/>
      <c r="T145" s="184"/>
      <c r="U145" s="184"/>
      <c r="V145" s="184"/>
      <c r="W145" s="184"/>
    </row>
    <row r="146" spans="1:23" s="35" customFormat="1" ht="40.5" customHeight="1" x14ac:dyDescent="0.2">
      <c r="A146" s="55" t="s">
        <v>23</v>
      </c>
      <c r="B146" s="90" t="s">
        <v>79</v>
      </c>
      <c r="C146" s="91" t="s">
        <v>75</v>
      </c>
      <c r="D146" s="140">
        <v>59331</v>
      </c>
      <c r="E146" s="140">
        <v>39015</v>
      </c>
      <c r="F146" s="94">
        <v>346.56</v>
      </c>
      <c r="G146" s="94">
        <f>F146</f>
        <v>346.56</v>
      </c>
      <c r="H146" s="94">
        <f>G146</f>
        <v>346.56</v>
      </c>
      <c r="I146" s="93">
        <f>D146*F146</f>
        <v>20561751.359999999</v>
      </c>
      <c r="J146" s="93">
        <f>E146*G146</f>
        <v>13521038.4</v>
      </c>
      <c r="K146" s="93">
        <f>E146*H146</f>
        <v>13521038.4</v>
      </c>
      <c r="L146" s="163"/>
      <c r="M146" s="195"/>
      <c r="N146" s="195"/>
      <c r="O146" s="92"/>
      <c r="P146" s="80"/>
      <c r="Q146" s="80"/>
      <c r="R146" s="80"/>
      <c r="S146" s="80"/>
      <c r="T146" s="80"/>
      <c r="U146" s="80"/>
      <c r="V146" s="80"/>
      <c r="W146" s="80"/>
    </row>
    <row r="147" spans="1:23" s="35" customFormat="1" ht="39" customHeight="1" x14ac:dyDescent="0.2">
      <c r="A147" s="55" t="s">
        <v>23</v>
      </c>
      <c r="B147" s="90" t="s">
        <v>54</v>
      </c>
      <c r="C147" s="91" t="s">
        <v>76</v>
      </c>
      <c r="D147" s="140">
        <v>205360</v>
      </c>
      <c r="E147" s="140">
        <v>126034</v>
      </c>
      <c r="F147" s="94">
        <v>86.64</v>
      </c>
      <c r="G147" s="94">
        <f t="shared" ref="G147:H148" si="67">F147</f>
        <v>86.64</v>
      </c>
      <c r="H147" s="94">
        <f t="shared" si="67"/>
        <v>86.64</v>
      </c>
      <c r="I147" s="93">
        <f>D147*F147</f>
        <v>17792390.399999999</v>
      </c>
      <c r="J147" s="93">
        <f t="shared" ref="J147:J148" si="68">E147*G147</f>
        <v>10919585.76</v>
      </c>
      <c r="K147" s="93">
        <f t="shared" ref="K147:K148" si="69">E147*H147</f>
        <v>10919585.76</v>
      </c>
      <c r="L147" s="163"/>
      <c r="M147" s="195"/>
      <c r="N147" s="195"/>
      <c r="O147" s="92"/>
      <c r="P147" s="80"/>
      <c r="Q147" s="80"/>
      <c r="R147" s="80"/>
      <c r="S147" s="80"/>
      <c r="T147" s="80"/>
      <c r="U147" s="80"/>
      <c r="V147" s="80"/>
      <c r="W147" s="80"/>
    </row>
    <row r="148" spans="1:23" s="35" customFormat="1" ht="39" customHeight="1" x14ac:dyDescent="0.2">
      <c r="A148" s="55" t="s">
        <v>23</v>
      </c>
      <c r="B148" s="90" t="s">
        <v>55</v>
      </c>
      <c r="C148" s="91" t="s">
        <v>76</v>
      </c>
      <c r="D148" s="140">
        <v>69422</v>
      </c>
      <c r="E148" s="140">
        <v>55132</v>
      </c>
      <c r="F148" s="94">
        <v>43.32</v>
      </c>
      <c r="G148" s="94">
        <f t="shared" si="67"/>
        <v>43.32</v>
      </c>
      <c r="H148" s="94">
        <f t="shared" si="67"/>
        <v>43.32</v>
      </c>
      <c r="I148" s="93">
        <f>D148*F148</f>
        <v>3007361.04</v>
      </c>
      <c r="J148" s="93">
        <f t="shared" si="68"/>
        <v>2388318.2400000002</v>
      </c>
      <c r="K148" s="93">
        <f t="shared" si="69"/>
        <v>2388318.2400000002</v>
      </c>
      <c r="L148" s="163"/>
      <c r="M148" s="195"/>
      <c r="N148" s="195"/>
      <c r="O148" s="92"/>
      <c r="P148" s="80"/>
      <c r="Q148" s="80"/>
      <c r="R148" s="80"/>
      <c r="S148" s="80"/>
      <c r="T148" s="80"/>
      <c r="U148" s="80"/>
      <c r="V148" s="80"/>
      <c r="W148" s="80"/>
    </row>
    <row r="149" spans="1:23" s="34" customFormat="1" ht="25.5" customHeight="1" x14ac:dyDescent="0.2">
      <c r="A149" s="53">
        <v>8</v>
      </c>
      <c r="B149" s="7" t="s">
        <v>84</v>
      </c>
      <c r="C149" s="63"/>
      <c r="D149" s="102"/>
      <c r="E149" s="102"/>
      <c r="F149" s="95"/>
      <c r="G149" s="95"/>
      <c r="H149" s="95"/>
      <c r="I149" s="85">
        <f t="shared" ref="I149:K149" si="70">SUM(I150:I152)</f>
        <v>4869429</v>
      </c>
      <c r="J149" s="85">
        <f t="shared" si="70"/>
        <v>3158532</v>
      </c>
      <c r="K149" s="85">
        <f t="shared" si="70"/>
        <v>3158532</v>
      </c>
      <c r="L149" s="165"/>
      <c r="M149" s="194"/>
      <c r="N149" s="194"/>
      <c r="O149" s="89"/>
      <c r="P149" s="184"/>
      <c r="Q149" s="184"/>
      <c r="R149" s="184"/>
      <c r="S149" s="184"/>
      <c r="T149" s="184"/>
      <c r="U149" s="184"/>
      <c r="V149" s="184"/>
      <c r="W149" s="184"/>
    </row>
    <row r="150" spans="1:23" s="35" customFormat="1" ht="42" customHeight="1" x14ac:dyDescent="0.2">
      <c r="A150" s="55" t="s">
        <v>23</v>
      </c>
      <c r="B150" s="90" t="s">
        <v>79</v>
      </c>
      <c r="C150" s="91" t="s">
        <v>75</v>
      </c>
      <c r="D150" s="140">
        <v>59331</v>
      </c>
      <c r="E150" s="140">
        <v>39015</v>
      </c>
      <c r="F150" s="93">
        <v>40.799999999999997</v>
      </c>
      <c r="G150" s="93">
        <f>F150</f>
        <v>40.799999999999997</v>
      </c>
      <c r="H150" s="93">
        <f>G150</f>
        <v>40.799999999999997</v>
      </c>
      <c r="I150" s="93">
        <f>D150*F150</f>
        <v>2420704.7999999998</v>
      </c>
      <c r="J150" s="93">
        <f>E150*G150</f>
        <v>1591812</v>
      </c>
      <c r="K150" s="93">
        <f>E150*H150</f>
        <v>1591812</v>
      </c>
      <c r="L150" s="163"/>
      <c r="M150" s="195"/>
      <c r="N150" s="195"/>
      <c r="O150" s="92"/>
      <c r="P150" s="80"/>
      <c r="Q150" s="80"/>
      <c r="R150" s="80"/>
      <c r="S150" s="80"/>
      <c r="T150" s="80"/>
      <c r="U150" s="80"/>
      <c r="V150" s="80"/>
      <c r="W150" s="80"/>
    </row>
    <row r="151" spans="1:23" s="35" customFormat="1" ht="30" customHeight="1" x14ac:dyDescent="0.2">
      <c r="A151" s="55" t="s">
        <v>23</v>
      </c>
      <c r="B151" s="90" t="s">
        <v>55</v>
      </c>
      <c r="C151" s="91" t="s">
        <v>76</v>
      </c>
      <c r="D151" s="140">
        <v>69422</v>
      </c>
      <c r="E151" s="140">
        <v>55132</v>
      </c>
      <c r="F151" s="93">
        <v>5.0999999999999996</v>
      </c>
      <c r="G151" s="93">
        <f t="shared" ref="G151:H152" si="71">F151</f>
        <v>5.0999999999999996</v>
      </c>
      <c r="H151" s="93">
        <f t="shared" si="71"/>
        <v>5.0999999999999996</v>
      </c>
      <c r="I151" s="93">
        <f>D151*F151</f>
        <v>354052.19999999995</v>
      </c>
      <c r="J151" s="93">
        <f t="shared" ref="J151:J152" si="72">E151*G151</f>
        <v>281173.19999999995</v>
      </c>
      <c r="K151" s="93">
        <f t="shared" ref="K151:K152" si="73">E151*H151</f>
        <v>281173.19999999995</v>
      </c>
      <c r="L151" s="163"/>
      <c r="M151" s="195"/>
      <c r="N151" s="195"/>
      <c r="O151" s="92"/>
      <c r="P151" s="80"/>
      <c r="Q151" s="80"/>
      <c r="R151" s="80"/>
      <c r="S151" s="80"/>
      <c r="T151" s="80"/>
      <c r="U151" s="80"/>
      <c r="V151" s="80"/>
      <c r="W151" s="80"/>
    </row>
    <row r="152" spans="1:23" s="35" customFormat="1" ht="31.5" customHeight="1" x14ac:dyDescent="0.2">
      <c r="A152" s="55" t="s">
        <v>23</v>
      </c>
      <c r="B152" s="90" t="s">
        <v>54</v>
      </c>
      <c r="C152" s="91" t="s">
        <v>76</v>
      </c>
      <c r="D152" s="140">
        <v>205360</v>
      </c>
      <c r="E152" s="140">
        <v>126034</v>
      </c>
      <c r="F152" s="93">
        <v>10.199999999999999</v>
      </c>
      <c r="G152" s="93">
        <f t="shared" si="71"/>
        <v>10.199999999999999</v>
      </c>
      <c r="H152" s="93">
        <f t="shared" si="71"/>
        <v>10.199999999999999</v>
      </c>
      <c r="I152" s="93">
        <f>D152*F152</f>
        <v>2094671.9999999998</v>
      </c>
      <c r="J152" s="93">
        <f t="shared" si="72"/>
        <v>1285546.7999999998</v>
      </c>
      <c r="K152" s="93">
        <f t="shared" si="73"/>
        <v>1285546.7999999998</v>
      </c>
      <c r="L152" s="163"/>
      <c r="M152" s="195"/>
      <c r="N152" s="195"/>
      <c r="O152" s="92"/>
      <c r="P152" s="80"/>
      <c r="Q152" s="80"/>
      <c r="R152" s="80"/>
      <c r="S152" s="80"/>
      <c r="T152" s="80"/>
      <c r="U152" s="80"/>
      <c r="V152" s="80"/>
      <c r="W152" s="80"/>
    </row>
    <row r="153" spans="1:23" s="2" customFormat="1" ht="34.5" customHeight="1" x14ac:dyDescent="0.2">
      <c r="A153" s="53">
        <v>9</v>
      </c>
      <c r="B153" s="7" t="s">
        <v>85</v>
      </c>
      <c r="C153" s="63"/>
      <c r="D153" s="102"/>
      <c r="E153" s="102"/>
      <c r="F153" s="95"/>
      <c r="G153" s="95"/>
      <c r="H153" s="95"/>
      <c r="I153" s="85">
        <f t="shared" ref="I153:K153" si="74">SUM(I154:I156)</f>
        <v>245151880.39999998</v>
      </c>
      <c r="J153" s="85">
        <f t="shared" si="74"/>
        <v>159016603.20000002</v>
      </c>
      <c r="K153" s="85">
        <f t="shared" si="74"/>
        <v>159016603.20000002</v>
      </c>
      <c r="L153" s="165"/>
      <c r="M153" s="194"/>
      <c r="N153" s="194"/>
      <c r="O153" s="89"/>
      <c r="P153" s="184"/>
      <c r="Q153" s="184"/>
      <c r="R153" s="184"/>
      <c r="S153" s="184"/>
      <c r="T153" s="184"/>
      <c r="U153" s="184"/>
      <c r="V153" s="184"/>
      <c r="W153" s="184"/>
    </row>
    <row r="154" spans="1:23" s="1" customFormat="1" ht="37.5" customHeight="1" x14ac:dyDescent="0.2">
      <c r="A154" s="55" t="s">
        <v>23</v>
      </c>
      <c r="B154" s="90" t="s">
        <v>79</v>
      </c>
      <c r="C154" s="91" t="s">
        <v>75</v>
      </c>
      <c r="D154" s="140">
        <v>59331</v>
      </c>
      <c r="E154" s="140">
        <v>39015</v>
      </c>
      <c r="F154" s="93">
        <v>2054.08</v>
      </c>
      <c r="G154" s="93">
        <f>F154</f>
        <v>2054.08</v>
      </c>
      <c r="H154" s="93">
        <f>G154</f>
        <v>2054.08</v>
      </c>
      <c r="I154" s="93">
        <f>D154*F154</f>
        <v>121870620.47999999</v>
      </c>
      <c r="J154" s="93">
        <f>E154*G154</f>
        <v>80139931.200000003</v>
      </c>
      <c r="K154" s="93">
        <f>E154*H154</f>
        <v>80139931.200000003</v>
      </c>
      <c r="L154" s="163"/>
      <c r="M154" s="195"/>
      <c r="N154" s="195"/>
      <c r="O154" s="92"/>
      <c r="P154" s="80"/>
      <c r="Q154" s="80"/>
      <c r="R154" s="80"/>
      <c r="S154" s="80"/>
      <c r="T154" s="80"/>
      <c r="U154" s="80"/>
      <c r="V154" s="80"/>
      <c r="W154" s="80"/>
    </row>
    <row r="155" spans="1:23" s="1" customFormat="1" ht="36.75" customHeight="1" x14ac:dyDescent="0.2">
      <c r="A155" s="55" t="s">
        <v>23</v>
      </c>
      <c r="B155" s="90" t="s">
        <v>55</v>
      </c>
      <c r="C155" s="91" t="s">
        <v>76</v>
      </c>
      <c r="D155" s="140">
        <v>69422</v>
      </c>
      <c r="E155" s="140">
        <v>55132</v>
      </c>
      <c r="F155" s="93">
        <v>256.76</v>
      </c>
      <c r="G155" s="93">
        <f t="shared" ref="G155:H156" si="75">F155</f>
        <v>256.76</v>
      </c>
      <c r="H155" s="93">
        <f t="shared" si="75"/>
        <v>256.76</v>
      </c>
      <c r="I155" s="93">
        <f>D155*F155</f>
        <v>17824792.719999999</v>
      </c>
      <c r="J155" s="93">
        <f t="shared" ref="J155:J156" si="76">E155*G155</f>
        <v>14155692.32</v>
      </c>
      <c r="K155" s="93">
        <f t="shared" ref="K155:K156" si="77">E155*H155</f>
        <v>14155692.32</v>
      </c>
      <c r="L155" s="163"/>
      <c r="M155" s="195"/>
      <c r="N155" s="195"/>
      <c r="O155" s="92"/>
      <c r="P155" s="80"/>
      <c r="Q155" s="80"/>
      <c r="R155" s="80"/>
      <c r="S155" s="80"/>
      <c r="T155" s="80"/>
      <c r="U155" s="80"/>
      <c r="V155" s="80"/>
      <c r="W155" s="80"/>
    </row>
    <row r="156" spans="1:23" s="1" customFormat="1" ht="34.5" customHeight="1" x14ac:dyDescent="0.2">
      <c r="A156" s="55" t="s">
        <v>23</v>
      </c>
      <c r="B156" s="90" t="s">
        <v>54</v>
      </c>
      <c r="C156" s="91" t="s">
        <v>76</v>
      </c>
      <c r="D156" s="140">
        <v>205360</v>
      </c>
      <c r="E156" s="140">
        <v>126034</v>
      </c>
      <c r="F156" s="93">
        <v>513.52</v>
      </c>
      <c r="G156" s="93">
        <f t="shared" si="75"/>
        <v>513.52</v>
      </c>
      <c r="H156" s="93">
        <f t="shared" si="75"/>
        <v>513.52</v>
      </c>
      <c r="I156" s="93">
        <f>D156*F156</f>
        <v>105456467.2</v>
      </c>
      <c r="J156" s="93">
        <f t="shared" si="76"/>
        <v>64720979.68</v>
      </c>
      <c r="K156" s="93">
        <f t="shared" si="77"/>
        <v>64720979.68</v>
      </c>
      <c r="L156" s="163"/>
      <c r="M156" s="195"/>
      <c r="N156" s="195"/>
      <c r="O156" s="92"/>
      <c r="P156" s="80"/>
      <c r="Q156" s="80"/>
      <c r="R156" s="80"/>
      <c r="S156" s="80"/>
      <c r="T156" s="80"/>
      <c r="U156" s="80"/>
      <c r="V156" s="80"/>
      <c r="W156" s="80"/>
    </row>
    <row r="157" spans="1:23" s="34" customFormat="1" ht="25.5" customHeight="1" x14ac:dyDescent="0.2">
      <c r="A157" s="53">
        <v>10</v>
      </c>
      <c r="B157" s="7" t="s">
        <v>86</v>
      </c>
      <c r="C157" s="63"/>
      <c r="D157" s="102"/>
      <c r="E157" s="102"/>
      <c r="F157" s="95"/>
      <c r="G157" s="95"/>
      <c r="H157" s="95"/>
      <c r="I157" s="85">
        <f t="shared" ref="I157:K157" si="78">SUM(I158:I160)</f>
        <v>28242688.199999999</v>
      </c>
      <c r="J157" s="85">
        <f t="shared" si="78"/>
        <v>18319485.600000001</v>
      </c>
      <c r="K157" s="85">
        <f t="shared" si="78"/>
        <v>18319485.600000001</v>
      </c>
      <c r="L157" s="165"/>
      <c r="M157" s="194"/>
      <c r="N157" s="194"/>
      <c r="O157" s="89"/>
      <c r="P157" s="184"/>
      <c r="Q157" s="184"/>
      <c r="R157" s="184"/>
      <c r="S157" s="184"/>
      <c r="T157" s="184"/>
      <c r="U157" s="184"/>
      <c r="V157" s="184"/>
      <c r="W157" s="184"/>
    </row>
    <row r="158" spans="1:23" s="35" customFormat="1" ht="42" customHeight="1" x14ac:dyDescent="0.2">
      <c r="A158" s="55" t="s">
        <v>23</v>
      </c>
      <c r="B158" s="90" t="s">
        <v>79</v>
      </c>
      <c r="C158" s="91" t="s">
        <v>75</v>
      </c>
      <c r="D158" s="140">
        <v>59331</v>
      </c>
      <c r="E158" s="140">
        <v>39015</v>
      </c>
      <c r="F158" s="66">
        <v>236.64</v>
      </c>
      <c r="G158" s="66">
        <f>F158</f>
        <v>236.64</v>
      </c>
      <c r="H158" s="66">
        <f>G158</f>
        <v>236.64</v>
      </c>
      <c r="I158" s="93">
        <f>D158*F158</f>
        <v>14040087.84</v>
      </c>
      <c r="J158" s="93">
        <f>E158*G158</f>
        <v>9232509.5999999996</v>
      </c>
      <c r="K158" s="93">
        <f>E158*H158</f>
        <v>9232509.5999999996</v>
      </c>
      <c r="L158" s="163"/>
      <c r="M158" s="195"/>
      <c r="N158" s="195"/>
      <c r="O158" s="92"/>
      <c r="P158" s="80"/>
      <c r="Q158" s="80"/>
      <c r="R158" s="80"/>
      <c r="S158" s="80"/>
      <c r="T158" s="80"/>
      <c r="U158" s="80"/>
      <c r="V158" s="80"/>
      <c r="W158" s="80"/>
    </row>
    <row r="159" spans="1:23" s="35" customFormat="1" ht="27.75" customHeight="1" x14ac:dyDescent="0.2">
      <c r="A159" s="55" t="s">
        <v>23</v>
      </c>
      <c r="B159" s="90" t="s">
        <v>55</v>
      </c>
      <c r="C159" s="91" t="s">
        <v>76</v>
      </c>
      <c r="D159" s="140">
        <v>69422</v>
      </c>
      <c r="E159" s="140">
        <v>55132</v>
      </c>
      <c r="F159" s="66">
        <v>29.58</v>
      </c>
      <c r="G159" s="66">
        <f t="shared" ref="G159:H160" si="79">F159</f>
        <v>29.58</v>
      </c>
      <c r="H159" s="66">
        <f t="shared" si="79"/>
        <v>29.58</v>
      </c>
      <c r="I159" s="93">
        <f>D159*F159</f>
        <v>2053502.7599999998</v>
      </c>
      <c r="J159" s="93">
        <f t="shared" ref="J159:J160" si="80">E159*G159</f>
        <v>1630804.5599999998</v>
      </c>
      <c r="K159" s="93">
        <f t="shared" ref="K159:K160" si="81">E159*H159</f>
        <v>1630804.5599999998</v>
      </c>
      <c r="L159" s="163"/>
      <c r="M159" s="195"/>
      <c r="N159" s="195"/>
      <c r="O159" s="92"/>
      <c r="P159" s="80"/>
      <c r="Q159" s="80"/>
      <c r="R159" s="80"/>
      <c r="S159" s="80"/>
      <c r="T159" s="80"/>
      <c r="U159" s="80"/>
      <c r="V159" s="80"/>
      <c r="W159" s="80"/>
    </row>
    <row r="160" spans="1:23" s="35" customFormat="1" ht="30" customHeight="1" x14ac:dyDescent="0.2">
      <c r="A160" s="55" t="s">
        <v>23</v>
      </c>
      <c r="B160" s="90" t="s">
        <v>54</v>
      </c>
      <c r="C160" s="91" t="s">
        <v>76</v>
      </c>
      <c r="D160" s="140">
        <v>205360</v>
      </c>
      <c r="E160" s="140">
        <v>126034</v>
      </c>
      <c r="F160" s="66">
        <v>59.16</v>
      </c>
      <c r="G160" s="66">
        <f t="shared" si="79"/>
        <v>59.16</v>
      </c>
      <c r="H160" s="66">
        <f t="shared" si="79"/>
        <v>59.16</v>
      </c>
      <c r="I160" s="93">
        <f>D160*F160</f>
        <v>12149097.6</v>
      </c>
      <c r="J160" s="93">
        <f t="shared" si="80"/>
        <v>7456171.4399999995</v>
      </c>
      <c r="K160" s="93">
        <f t="shared" si="81"/>
        <v>7456171.4399999995</v>
      </c>
      <c r="L160" s="163"/>
      <c r="M160" s="195"/>
      <c r="N160" s="195"/>
      <c r="O160" s="92"/>
      <c r="P160" s="80"/>
      <c r="Q160" s="80"/>
      <c r="R160" s="80"/>
      <c r="S160" s="80"/>
      <c r="T160" s="80"/>
      <c r="U160" s="80"/>
      <c r="V160" s="80"/>
      <c r="W160" s="80"/>
    </row>
    <row r="161" spans="1:23" s="2" customFormat="1" ht="34.5" customHeight="1" x14ac:dyDescent="0.2">
      <c r="A161" s="67" t="s">
        <v>57</v>
      </c>
      <c r="B161" s="12" t="s">
        <v>58</v>
      </c>
      <c r="C161" s="68"/>
      <c r="D161" s="102"/>
      <c r="E161" s="102"/>
      <c r="F161" s="95"/>
      <c r="G161" s="95"/>
      <c r="H161" s="95"/>
      <c r="I161" s="85">
        <f t="shared" ref="I161:K161" si="82">SUM(I162:I162)</f>
        <v>338872170</v>
      </c>
      <c r="J161" s="85">
        <f t="shared" si="82"/>
        <v>197605590</v>
      </c>
      <c r="K161" s="85">
        <f t="shared" si="82"/>
        <v>197605590</v>
      </c>
      <c r="L161" s="165"/>
      <c r="M161" s="194"/>
      <c r="N161" s="194"/>
      <c r="O161" s="89" t="e">
        <f>#REF!+#REF!+#REF!</f>
        <v>#REF!</v>
      </c>
      <c r="P161" s="184"/>
      <c r="Q161" s="184"/>
      <c r="R161" s="184"/>
      <c r="S161" s="184"/>
      <c r="T161" s="184"/>
      <c r="U161" s="184"/>
      <c r="V161" s="184"/>
      <c r="W161" s="184"/>
    </row>
    <row r="162" spans="1:23" s="36" customFormat="1" ht="42.75" customHeight="1" x14ac:dyDescent="0.2">
      <c r="A162" s="61">
        <v>1</v>
      </c>
      <c r="B162" s="16" t="s">
        <v>59</v>
      </c>
      <c r="C162" s="61" t="s">
        <v>60</v>
      </c>
      <c r="D162" s="141">
        <v>124129</v>
      </c>
      <c r="E162" s="141">
        <v>72383</v>
      </c>
      <c r="F162" s="93">
        <v>2730</v>
      </c>
      <c r="G162" s="93">
        <f>+F162</f>
        <v>2730</v>
      </c>
      <c r="H162" s="93">
        <f>G162</f>
        <v>2730</v>
      </c>
      <c r="I162" s="93">
        <f>D162*F162</f>
        <v>338872170</v>
      </c>
      <c r="J162" s="93">
        <f>E162*G162</f>
        <v>197605590</v>
      </c>
      <c r="K162" s="93">
        <f>E162*H162</f>
        <v>197605590</v>
      </c>
      <c r="L162" s="163"/>
      <c r="M162" s="195"/>
      <c r="N162" s="195"/>
      <c r="O162" s="184"/>
      <c r="P162" s="89"/>
      <c r="Q162" s="184"/>
      <c r="R162" s="184"/>
      <c r="S162" s="184"/>
      <c r="T162" s="184"/>
      <c r="U162" s="184"/>
      <c r="V162" s="184"/>
      <c r="W162" s="184"/>
    </row>
    <row r="163" spans="1:23" s="36" customFormat="1" ht="33.75" customHeight="1" x14ac:dyDescent="0.2">
      <c r="A163" s="103" t="s">
        <v>110</v>
      </c>
      <c r="B163" s="112" t="s">
        <v>1</v>
      </c>
      <c r="C163" s="110"/>
      <c r="D163" s="154"/>
      <c r="E163" s="154"/>
      <c r="F163" s="111"/>
      <c r="G163" s="111"/>
      <c r="H163" s="111"/>
      <c r="I163" s="139">
        <f t="shared" ref="I163:J163" si="83">+I164+I170</f>
        <v>648997343.54000008</v>
      </c>
      <c r="J163" s="139">
        <f t="shared" si="83"/>
        <v>183093706</v>
      </c>
      <c r="K163" s="139">
        <f t="shared" ref="K163" si="84">+K164+K170</f>
        <v>175978306</v>
      </c>
      <c r="L163" s="161"/>
      <c r="M163" s="196"/>
      <c r="N163" s="196"/>
      <c r="O163" s="184"/>
      <c r="P163" s="89"/>
      <c r="Q163" s="184"/>
      <c r="R163" s="184"/>
      <c r="S163" s="184"/>
      <c r="T163" s="184"/>
      <c r="U163" s="184"/>
      <c r="V163" s="184"/>
      <c r="W163" s="184"/>
    </row>
    <row r="164" spans="1:23" s="2" customFormat="1" ht="24.75" customHeight="1" x14ac:dyDescent="0.2">
      <c r="A164" s="53" t="s">
        <v>38</v>
      </c>
      <c r="B164" s="60" t="s">
        <v>87</v>
      </c>
      <c r="C164" s="54"/>
      <c r="D164" s="102"/>
      <c r="E164" s="102"/>
      <c r="F164" s="57"/>
      <c r="G164" s="57"/>
      <c r="H164" s="57"/>
      <c r="I164" s="85">
        <f>SUM(I165:I169)</f>
        <v>626405865.54000008</v>
      </c>
      <c r="J164" s="85">
        <f>SUM(J165:J169)</f>
        <v>169920000</v>
      </c>
      <c r="K164" s="85">
        <f>SUM(K165:K169)</f>
        <v>162804600</v>
      </c>
      <c r="L164" s="162"/>
      <c r="M164" s="192"/>
      <c r="N164" s="192"/>
      <c r="O164" s="65"/>
    </row>
    <row r="165" spans="1:23" s="79" customFormat="1" ht="33.75" customHeight="1" x14ac:dyDescent="0.2">
      <c r="A165" s="212">
        <v>1</v>
      </c>
      <c r="B165" s="213" t="s">
        <v>88</v>
      </c>
      <c r="C165" s="212" t="s">
        <v>41</v>
      </c>
      <c r="D165" s="214">
        <v>1024754</v>
      </c>
      <c r="E165" s="214"/>
      <c r="F165" s="215">
        <v>427.68000000000006</v>
      </c>
      <c r="G165" s="215"/>
      <c r="H165" s="215"/>
      <c r="I165" s="216">
        <f>D165*F165</f>
        <v>438266790.72000009</v>
      </c>
      <c r="J165" s="216"/>
      <c r="K165" s="216"/>
      <c r="L165" s="217"/>
      <c r="M165" s="218"/>
      <c r="N165" s="218"/>
      <c r="O165" s="219"/>
      <c r="P165" s="220"/>
      <c r="Q165" s="220"/>
    </row>
    <row r="166" spans="1:23" s="79" customFormat="1" ht="33" customHeight="1" x14ac:dyDescent="0.2">
      <c r="A166" s="212">
        <v>2</v>
      </c>
      <c r="B166" s="213" t="s">
        <v>89</v>
      </c>
      <c r="C166" s="212" t="s">
        <v>41</v>
      </c>
      <c r="D166" s="214">
        <v>737823</v>
      </c>
      <c r="E166" s="214"/>
      <c r="F166" s="215">
        <v>169.34</v>
      </c>
      <c r="G166" s="215"/>
      <c r="H166" s="215"/>
      <c r="I166" s="216">
        <f>D166*F166</f>
        <v>124942946.82000001</v>
      </c>
      <c r="J166" s="216"/>
      <c r="K166" s="216"/>
      <c r="L166" s="221"/>
      <c r="M166" s="222"/>
      <c r="N166" s="222"/>
      <c r="O166" s="219"/>
      <c r="P166" s="220"/>
      <c r="Q166" s="220"/>
    </row>
    <row r="167" spans="1:23" s="79" customFormat="1" ht="48.75" customHeight="1" x14ac:dyDescent="0.2">
      <c r="A167" s="212">
        <v>3</v>
      </c>
      <c r="B167" s="213" t="s">
        <v>90</v>
      </c>
      <c r="C167" s="212" t="s">
        <v>46</v>
      </c>
      <c r="D167" s="214">
        <v>219431</v>
      </c>
      <c r="E167" s="214"/>
      <c r="F167" s="215">
        <v>288</v>
      </c>
      <c r="G167" s="215"/>
      <c r="H167" s="215"/>
      <c r="I167" s="216">
        <f>D167*F167</f>
        <v>63196128</v>
      </c>
      <c r="J167" s="216"/>
      <c r="K167" s="216"/>
      <c r="L167" s="217"/>
      <c r="M167" s="223"/>
      <c r="N167" s="223"/>
      <c r="O167" s="223"/>
      <c r="P167" s="220"/>
      <c r="Q167" s="220"/>
    </row>
    <row r="168" spans="1:23" s="23" customFormat="1" ht="48.75" customHeight="1" x14ac:dyDescent="0.2">
      <c r="A168" s="13" t="s">
        <v>23</v>
      </c>
      <c r="B168" s="14" t="s">
        <v>146</v>
      </c>
      <c r="C168" s="13" t="s">
        <v>46</v>
      </c>
      <c r="D168" s="140"/>
      <c r="E168" s="140">
        <v>317900</v>
      </c>
      <c r="F168" s="66"/>
      <c r="G168" s="66">
        <f>+F167</f>
        <v>288</v>
      </c>
      <c r="H168" s="66">
        <f>0.756*365</f>
        <v>275.94</v>
      </c>
      <c r="I168" s="137"/>
      <c r="J168" s="137">
        <f>E168*G168</f>
        <v>91555200</v>
      </c>
      <c r="K168" s="137">
        <f>E168*H168</f>
        <v>87721326</v>
      </c>
      <c r="L168" s="163"/>
      <c r="M168" s="195"/>
      <c r="N168" s="195"/>
      <c r="O168" s="211"/>
      <c r="P168" s="43"/>
      <c r="Q168" s="43"/>
    </row>
    <row r="169" spans="1:23" s="23" customFormat="1" ht="48.75" customHeight="1" x14ac:dyDescent="0.2">
      <c r="A169" s="13" t="s">
        <v>23</v>
      </c>
      <c r="B169" s="14" t="s">
        <v>147</v>
      </c>
      <c r="C169" s="13" t="s">
        <v>46</v>
      </c>
      <c r="D169" s="140"/>
      <c r="E169" s="140">
        <v>272100</v>
      </c>
      <c r="F169" s="66"/>
      <c r="G169" s="66">
        <f>+G168</f>
        <v>288</v>
      </c>
      <c r="H169" s="66">
        <f>H168</f>
        <v>275.94</v>
      </c>
      <c r="I169" s="137"/>
      <c r="J169" s="137">
        <f>E169*G169</f>
        <v>78364800</v>
      </c>
      <c r="K169" s="137">
        <f>E169*H169</f>
        <v>75083274</v>
      </c>
      <c r="L169" s="163"/>
      <c r="M169" s="195"/>
      <c r="N169" s="195"/>
      <c r="O169" s="211"/>
      <c r="P169" s="43"/>
      <c r="Q169" s="43"/>
    </row>
    <row r="170" spans="1:23" s="2" customFormat="1" ht="25.5" customHeight="1" x14ac:dyDescent="0.2">
      <c r="A170" s="67" t="s">
        <v>51</v>
      </c>
      <c r="B170" s="60" t="s">
        <v>58</v>
      </c>
      <c r="C170" s="68"/>
      <c r="D170" s="102"/>
      <c r="E170" s="102"/>
      <c r="F170" s="82"/>
      <c r="G170" s="82"/>
      <c r="H170" s="82"/>
      <c r="I170" s="85">
        <f t="shared" ref="I170:K170" si="85">SUM(I171:I171)</f>
        <v>22591478</v>
      </c>
      <c r="J170" s="85">
        <f t="shared" si="85"/>
        <v>13173706</v>
      </c>
      <c r="K170" s="85">
        <f t="shared" si="85"/>
        <v>13173706</v>
      </c>
      <c r="L170" s="166"/>
      <c r="M170" s="198"/>
      <c r="N170" s="198"/>
      <c r="O170" s="100"/>
    </row>
    <row r="171" spans="1:23" s="36" customFormat="1" ht="36" customHeight="1" x14ac:dyDescent="0.2">
      <c r="A171" s="61">
        <v>1</v>
      </c>
      <c r="B171" s="64" t="s">
        <v>91</v>
      </c>
      <c r="C171" s="61" t="s">
        <v>60</v>
      </c>
      <c r="D171" s="141">
        <v>124129</v>
      </c>
      <c r="E171" s="141">
        <v>72383</v>
      </c>
      <c r="F171" s="66">
        <v>182</v>
      </c>
      <c r="G171" s="66">
        <f>+F171</f>
        <v>182</v>
      </c>
      <c r="H171" s="66">
        <f>G171</f>
        <v>182</v>
      </c>
      <c r="I171" s="137">
        <f>D171*F171</f>
        <v>22591478</v>
      </c>
      <c r="J171" s="137">
        <f>E171*G171</f>
        <v>13173706</v>
      </c>
      <c r="K171" s="137">
        <f>E171*H171</f>
        <v>13173706</v>
      </c>
      <c r="L171" s="163"/>
      <c r="M171" s="197"/>
      <c r="N171" s="197"/>
      <c r="O171" s="101"/>
      <c r="Q171" s="44"/>
    </row>
    <row r="172" spans="1:23" s="36" customFormat="1" ht="30" customHeight="1" x14ac:dyDescent="0.2">
      <c r="A172" s="103" t="s">
        <v>111</v>
      </c>
      <c r="B172" s="112" t="s">
        <v>2</v>
      </c>
      <c r="C172" s="110"/>
      <c r="D172" s="154"/>
      <c r="E172" s="154"/>
      <c r="F172" s="111"/>
      <c r="G172" s="111"/>
      <c r="H172" s="111"/>
      <c r="I172" s="139">
        <f t="shared" ref="I172:J172" si="86">+I173+I179</f>
        <v>1007625585.04</v>
      </c>
      <c r="J172" s="139">
        <f t="shared" si="86"/>
        <v>353013706</v>
      </c>
      <c r="K172" s="139">
        <f t="shared" ref="K172" si="87">+K173+K179</f>
        <v>573945106</v>
      </c>
      <c r="L172" s="161"/>
      <c r="M172" s="196"/>
      <c r="N172" s="196"/>
      <c r="O172" s="184"/>
      <c r="P172" s="89"/>
      <c r="Q172" s="184"/>
      <c r="R172" s="184"/>
      <c r="S172" s="184"/>
      <c r="T172" s="184"/>
      <c r="U172" s="184"/>
      <c r="V172" s="184"/>
      <c r="W172" s="184"/>
    </row>
    <row r="173" spans="1:23" s="2" customFormat="1" ht="25.5" customHeight="1" x14ac:dyDescent="0.2">
      <c r="A173" s="6" t="s">
        <v>38</v>
      </c>
      <c r="B173" s="12" t="s">
        <v>87</v>
      </c>
      <c r="C173" s="7"/>
      <c r="D173" s="140"/>
      <c r="E173" s="140"/>
      <c r="F173" s="85"/>
      <c r="G173" s="85"/>
      <c r="H173" s="85"/>
      <c r="I173" s="138">
        <f>SUM(I174:I178)</f>
        <v>985034107.03999996</v>
      </c>
      <c r="J173" s="138">
        <f>SUM(J174:J178)</f>
        <v>339840000</v>
      </c>
      <c r="K173" s="138">
        <f>SUM(K174:K178)</f>
        <v>560771400</v>
      </c>
      <c r="L173" s="162"/>
      <c r="M173" s="192"/>
      <c r="N173" s="192"/>
    </row>
    <row r="174" spans="1:23" s="79" customFormat="1" ht="33" customHeight="1" x14ac:dyDescent="0.2">
      <c r="A174" s="212">
        <v>1</v>
      </c>
      <c r="B174" s="213" t="s">
        <v>88</v>
      </c>
      <c r="C174" s="212" t="s">
        <v>41</v>
      </c>
      <c r="D174" s="214">
        <v>1024754</v>
      </c>
      <c r="E174" s="214"/>
      <c r="F174" s="214">
        <v>450.67</v>
      </c>
      <c r="G174" s="214"/>
      <c r="H174" s="214"/>
      <c r="I174" s="225">
        <f>D174*F174</f>
        <v>461825885.18000001</v>
      </c>
      <c r="J174" s="225"/>
      <c r="K174" s="225"/>
      <c r="L174" s="217"/>
      <c r="M174" s="218"/>
      <c r="N174" s="218"/>
      <c r="O174" s="220"/>
      <c r="P174" s="220"/>
    </row>
    <row r="175" spans="1:23" s="79" customFormat="1" ht="33" customHeight="1" x14ac:dyDescent="0.2">
      <c r="A175" s="212">
        <v>2</v>
      </c>
      <c r="B175" s="213" t="s">
        <v>89</v>
      </c>
      <c r="C175" s="212" t="s">
        <v>41</v>
      </c>
      <c r="D175" s="214">
        <v>737823</v>
      </c>
      <c r="E175" s="214"/>
      <c r="F175" s="214">
        <v>537.82000000000005</v>
      </c>
      <c r="G175" s="214"/>
      <c r="H175" s="214"/>
      <c r="I175" s="225">
        <f>D175*F175</f>
        <v>396815965.86000001</v>
      </c>
      <c r="J175" s="225"/>
      <c r="K175" s="225"/>
      <c r="L175" s="217"/>
      <c r="M175" s="218"/>
      <c r="N175" s="218"/>
      <c r="O175" s="220"/>
      <c r="P175" s="220"/>
    </row>
    <row r="176" spans="1:23" s="79" customFormat="1" ht="61.5" customHeight="1" x14ac:dyDescent="0.2">
      <c r="A176" s="212">
        <v>3</v>
      </c>
      <c r="B176" s="213" t="s">
        <v>90</v>
      </c>
      <c r="C176" s="212" t="s">
        <v>46</v>
      </c>
      <c r="D176" s="214">
        <v>219431</v>
      </c>
      <c r="E176" s="214"/>
      <c r="F176" s="214">
        <v>576</v>
      </c>
      <c r="G176" s="214"/>
      <c r="H176" s="214"/>
      <c r="I176" s="225">
        <f>D176*F176</f>
        <v>126392256</v>
      </c>
      <c r="J176" s="225"/>
      <c r="K176" s="225"/>
      <c r="L176" s="217"/>
      <c r="M176" s="217"/>
      <c r="N176" s="217"/>
      <c r="O176" s="217"/>
      <c r="P176" s="220"/>
    </row>
    <row r="177" spans="1:23" s="1" customFormat="1" ht="61.5" customHeight="1" x14ac:dyDescent="0.2">
      <c r="A177" s="13" t="s">
        <v>23</v>
      </c>
      <c r="B177" s="14" t="s">
        <v>146</v>
      </c>
      <c r="C177" s="13" t="s">
        <v>46</v>
      </c>
      <c r="D177" s="140"/>
      <c r="E177" s="140">
        <v>317900</v>
      </c>
      <c r="F177" s="93"/>
      <c r="G177" s="93">
        <f>+F176</f>
        <v>576</v>
      </c>
      <c r="H177" s="93">
        <f>2.604*365</f>
        <v>950.46</v>
      </c>
      <c r="I177" s="125"/>
      <c r="J177" s="125">
        <f>E177*G177</f>
        <v>183110400</v>
      </c>
      <c r="K177" s="125">
        <f>E177*H177</f>
        <v>302151234</v>
      </c>
      <c r="L177" s="163"/>
      <c r="M177" s="195"/>
      <c r="N177" s="195"/>
      <c r="O177" s="224"/>
      <c r="P177" s="33"/>
    </row>
    <row r="178" spans="1:23" s="1" customFormat="1" ht="61.5" customHeight="1" x14ac:dyDescent="0.2">
      <c r="A178" s="13" t="s">
        <v>23</v>
      </c>
      <c r="B178" s="14" t="s">
        <v>147</v>
      </c>
      <c r="C178" s="13" t="s">
        <v>46</v>
      </c>
      <c r="D178" s="140"/>
      <c r="E178" s="140">
        <v>272100</v>
      </c>
      <c r="F178" s="93"/>
      <c r="G178" s="93">
        <f>+G177</f>
        <v>576</v>
      </c>
      <c r="H178" s="93">
        <f>H177</f>
        <v>950.46</v>
      </c>
      <c r="I178" s="125"/>
      <c r="J178" s="125">
        <f>E178*G178</f>
        <v>156729600</v>
      </c>
      <c r="K178" s="125">
        <f>E178*H178</f>
        <v>258620166</v>
      </c>
      <c r="L178" s="163"/>
      <c r="M178" s="195"/>
      <c r="N178" s="195"/>
      <c r="O178" s="224"/>
      <c r="P178" s="33"/>
    </row>
    <row r="179" spans="1:23" s="2" customFormat="1" ht="32.25" customHeight="1" x14ac:dyDescent="0.2">
      <c r="A179" s="18" t="s">
        <v>51</v>
      </c>
      <c r="B179" s="12" t="s">
        <v>58</v>
      </c>
      <c r="C179" s="19"/>
      <c r="D179" s="102"/>
      <c r="E179" s="102"/>
      <c r="F179" s="138"/>
      <c r="G179" s="138"/>
      <c r="H179" s="138"/>
      <c r="I179" s="138">
        <f t="shared" ref="I179:K179" si="88">SUM(I180:I180)</f>
        <v>22591478</v>
      </c>
      <c r="J179" s="138">
        <f t="shared" si="88"/>
        <v>13173706</v>
      </c>
      <c r="K179" s="138">
        <f t="shared" si="88"/>
        <v>13173706</v>
      </c>
      <c r="L179" s="165"/>
      <c r="M179" s="194"/>
      <c r="N179" s="194"/>
    </row>
    <row r="180" spans="1:23" s="2" customFormat="1" ht="32.25" customHeight="1" x14ac:dyDescent="0.2">
      <c r="A180" s="13">
        <v>1</v>
      </c>
      <c r="B180" s="16" t="s">
        <v>91</v>
      </c>
      <c r="C180" s="13" t="s">
        <v>60</v>
      </c>
      <c r="D180" s="141">
        <v>124129</v>
      </c>
      <c r="E180" s="141">
        <v>72383</v>
      </c>
      <c r="F180" s="93">
        <v>182</v>
      </c>
      <c r="G180" s="93">
        <f>F180</f>
        <v>182</v>
      </c>
      <c r="H180" s="93">
        <f>G180</f>
        <v>182</v>
      </c>
      <c r="I180" s="125">
        <f>D180*F180</f>
        <v>22591478</v>
      </c>
      <c r="J180" s="125">
        <f>E180*G180</f>
        <v>13173706</v>
      </c>
      <c r="K180" s="125">
        <f>E180*H180</f>
        <v>13173706</v>
      </c>
      <c r="L180" s="163"/>
      <c r="M180" s="163"/>
      <c r="N180" s="163"/>
      <c r="O180" s="15"/>
      <c r="P180" s="181"/>
    </row>
    <row r="181" spans="1:23" s="36" customFormat="1" ht="32.25" customHeight="1" x14ac:dyDescent="0.2">
      <c r="A181" s="103" t="s">
        <v>102</v>
      </c>
      <c r="B181" s="112" t="s">
        <v>124</v>
      </c>
      <c r="C181" s="110"/>
      <c r="D181" s="154"/>
      <c r="E181" s="154"/>
      <c r="F181" s="111"/>
      <c r="G181" s="111"/>
      <c r="H181" s="111"/>
      <c r="I181" s="139">
        <f t="shared" ref="I181:J181" si="89">+ROUND((I182+I187+I193+I199+I205+I211+I217),-3)</f>
        <v>2374005000</v>
      </c>
      <c r="J181" s="139">
        <f t="shared" si="89"/>
        <v>1553256000</v>
      </c>
      <c r="K181" s="139">
        <f t="shared" ref="K181" si="90">+ROUND((K182+K187+K193+K199+K205+K211+K217),-3)</f>
        <v>2384303000</v>
      </c>
      <c r="L181" s="161"/>
      <c r="M181" s="196"/>
      <c r="N181" s="196"/>
      <c r="O181" s="184"/>
      <c r="P181" s="89"/>
      <c r="Q181" s="184"/>
      <c r="R181" s="184"/>
      <c r="S181" s="184"/>
      <c r="T181" s="184"/>
      <c r="U181" s="184"/>
      <c r="V181" s="184"/>
      <c r="W181" s="184"/>
    </row>
    <row r="182" spans="1:23" s="36" customFormat="1" ht="32.25" customHeight="1" x14ac:dyDescent="0.2">
      <c r="A182" s="103" t="s">
        <v>112</v>
      </c>
      <c r="B182" s="112" t="s">
        <v>8</v>
      </c>
      <c r="C182" s="110"/>
      <c r="D182" s="154"/>
      <c r="E182" s="154"/>
      <c r="F182" s="111"/>
      <c r="G182" s="111"/>
      <c r="H182" s="111"/>
      <c r="I182" s="139">
        <f t="shared" ref="I182:K182" si="91">+I183</f>
        <v>765240810</v>
      </c>
      <c r="J182" s="139">
        <f t="shared" si="91"/>
        <v>741887999.99999988</v>
      </c>
      <c r="K182" s="139">
        <f t="shared" si="91"/>
        <v>1355145471.7634997</v>
      </c>
      <c r="L182" s="161"/>
      <c r="M182" s="196"/>
      <c r="N182" s="196"/>
      <c r="O182" s="184"/>
      <c r="P182" s="89"/>
      <c r="Q182" s="184"/>
      <c r="R182" s="184"/>
      <c r="S182" s="184"/>
      <c r="T182" s="184"/>
      <c r="U182" s="184"/>
      <c r="V182" s="184"/>
      <c r="W182" s="184"/>
    </row>
    <row r="183" spans="1:23" s="2" customFormat="1" ht="27.75" customHeight="1" x14ac:dyDescent="0.2">
      <c r="A183" s="53" t="s">
        <v>38</v>
      </c>
      <c r="B183" s="12" t="s">
        <v>113</v>
      </c>
      <c r="C183" s="54"/>
      <c r="D183" s="102"/>
      <c r="E183" s="102"/>
      <c r="F183" s="85"/>
      <c r="G183" s="85"/>
      <c r="H183" s="85"/>
      <c r="I183" s="138">
        <f>SUM(I184:I185)</f>
        <v>765240810</v>
      </c>
      <c r="J183" s="138">
        <f>SUM(J184:J185)</f>
        <v>741887999.99999988</v>
      </c>
      <c r="K183" s="138">
        <f>SUM(K184:K186)</f>
        <v>1355145471.7634997</v>
      </c>
      <c r="L183" s="162"/>
      <c r="M183" s="242">
        <f>+K183-J183</f>
        <v>613257471.76349986</v>
      </c>
      <c r="N183" s="192"/>
      <c r="O183" s="184"/>
      <c r="P183" s="184"/>
      <c r="Q183" s="184"/>
      <c r="R183" s="184"/>
      <c r="S183" s="184"/>
      <c r="T183" s="184"/>
      <c r="U183" s="184"/>
      <c r="V183" s="184"/>
      <c r="W183" s="184"/>
    </row>
    <row r="184" spans="1:23" s="226" customFormat="1" ht="30.75" customHeight="1" x14ac:dyDescent="0.2">
      <c r="A184" s="212">
        <v>1</v>
      </c>
      <c r="B184" s="213" t="s">
        <v>47</v>
      </c>
      <c r="C184" s="212" t="s">
        <v>48</v>
      </c>
      <c r="D184" s="214">
        <v>2131590</v>
      </c>
      <c r="E184" s="214"/>
      <c r="F184" s="214">
        <v>359</v>
      </c>
      <c r="G184" s="214"/>
      <c r="H184" s="214"/>
      <c r="I184" s="214">
        <f>D184*F184</f>
        <v>765240810</v>
      </c>
      <c r="J184" s="214"/>
      <c r="K184" s="214"/>
      <c r="L184" s="217"/>
      <c r="M184" s="218"/>
      <c r="N184" s="218"/>
      <c r="P184" s="227"/>
    </row>
    <row r="185" spans="1:23" s="240" customFormat="1" ht="35.25" customHeight="1" x14ac:dyDescent="0.2">
      <c r="A185" s="231" t="s">
        <v>23</v>
      </c>
      <c r="B185" s="232" t="s">
        <v>148</v>
      </c>
      <c r="C185" s="231" t="s">
        <v>149</v>
      </c>
      <c r="D185" s="235"/>
      <c r="E185" s="235">
        <v>320000</v>
      </c>
      <c r="F185" s="235"/>
      <c r="G185" s="235">
        <f>G178+G192+G198+G204+G210+G216+G222+G229</f>
        <v>2318.3999999999996</v>
      </c>
      <c r="H185" s="235">
        <f>(H120+H169+H178+H192+H198+H204+H210+H216+H222+H229)*70%</f>
        <v>3817.9364999999993</v>
      </c>
      <c r="I185" s="235"/>
      <c r="J185" s="235">
        <f>E185*G185</f>
        <v>741887999.99999988</v>
      </c>
      <c r="K185" s="235">
        <f>E185*H185</f>
        <v>1221739679.9999998</v>
      </c>
      <c r="L185" s="236"/>
      <c r="M185" s="239">
        <f>H120+H169+H178+H192+H198+H204+H210+H216+H222+H229</f>
        <v>5454.1949999999997</v>
      </c>
      <c r="N185" s="239"/>
      <c r="P185" s="241"/>
    </row>
    <row r="186" spans="1:23" s="240" customFormat="1" ht="35.25" customHeight="1" x14ac:dyDescent="0.2">
      <c r="A186" s="231" t="s">
        <v>23</v>
      </c>
      <c r="B186" s="232" t="s">
        <v>152</v>
      </c>
      <c r="C186" s="231" t="s">
        <v>149</v>
      </c>
      <c r="D186" s="235"/>
      <c r="E186" s="235">
        <v>81531</v>
      </c>
      <c r="F186" s="235"/>
      <c r="G186" s="235"/>
      <c r="H186" s="235">
        <f>(H120+H169+H178+H192+H198+H204+H210+H216+H222+H229)*30%</f>
        <v>1636.2584999999999</v>
      </c>
      <c r="I186" s="235"/>
      <c r="J186" s="235"/>
      <c r="K186" s="235">
        <f>E186*H186</f>
        <v>133405791.76349999</v>
      </c>
      <c r="L186" s="236"/>
      <c r="M186" s="239"/>
      <c r="N186" s="239"/>
      <c r="P186" s="241"/>
    </row>
    <row r="187" spans="1:23" s="36" customFormat="1" ht="30.75" customHeight="1" x14ac:dyDescent="0.2">
      <c r="A187" s="103" t="s">
        <v>114</v>
      </c>
      <c r="B187" s="112" t="s">
        <v>3</v>
      </c>
      <c r="C187" s="110"/>
      <c r="D187" s="154"/>
      <c r="E187" s="154"/>
      <c r="F187" s="111"/>
      <c r="G187" s="111"/>
      <c r="H187" s="111"/>
      <c r="I187" s="139">
        <f t="shared" ref="I187:K187" si="92">+I188</f>
        <v>268413319.08000001</v>
      </c>
      <c r="J187" s="139">
        <f t="shared" si="92"/>
        <v>191160000</v>
      </c>
      <c r="K187" s="139">
        <f t="shared" si="92"/>
        <v>108536400</v>
      </c>
      <c r="L187" s="161"/>
      <c r="M187" s="196"/>
      <c r="N187" s="196"/>
      <c r="O187" s="184"/>
      <c r="P187" s="89"/>
      <c r="Q187" s="184"/>
      <c r="R187" s="184"/>
      <c r="S187" s="184"/>
      <c r="T187" s="184"/>
      <c r="U187" s="184"/>
      <c r="V187" s="184"/>
      <c r="W187" s="184"/>
    </row>
    <row r="188" spans="1:23" s="2" customFormat="1" ht="30" customHeight="1" x14ac:dyDescent="0.2">
      <c r="A188" s="53" t="s">
        <v>38</v>
      </c>
      <c r="B188" s="60" t="s">
        <v>87</v>
      </c>
      <c r="C188" s="54"/>
      <c r="D188" s="102"/>
      <c r="E188" s="102"/>
      <c r="F188" s="85"/>
      <c r="G188" s="85"/>
      <c r="H188" s="85"/>
      <c r="I188" s="142">
        <f>SUM(I189:I192)</f>
        <v>268413319.08000001</v>
      </c>
      <c r="J188" s="142">
        <f>SUM(J189:J192)</f>
        <v>191160000</v>
      </c>
      <c r="K188" s="142">
        <f>SUM(K189:K192)</f>
        <v>108536400</v>
      </c>
      <c r="L188" s="162"/>
      <c r="M188" s="192"/>
      <c r="N188" s="192"/>
      <c r="O188" s="42"/>
    </row>
    <row r="189" spans="1:23" s="79" customFormat="1" ht="30" customHeight="1" x14ac:dyDescent="0.2">
      <c r="A189" s="212">
        <v>1</v>
      </c>
      <c r="B189" s="213" t="s">
        <v>92</v>
      </c>
      <c r="C189" s="212" t="s">
        <v>41</v>
      </c>
      <c r="D189" s="214">
        <v>1024754</v>
      </c>
      <c r="E189" s="214"/>
      <c r="F189" s="215">
        <v>196.02</v>
      </c>
      <c r="G189" s="215"/>
      <c r="H189" s="215"/>
      <c r="I189" s="228">
        <f>D189*F189</f>
        <v>200872279.08000001</v>
      </c>
      <c r="J189" s="228"/>
      <c r="K189" s="228"/>
      <c r="L189" s="217"/>
      <c r="M189" s="217"/>
      <c r="N189" s="217"/>
      <c r="O189" s="217"/>
      <c r="P189" s="220"/>
      <c r="Q189" s="220"/>
    </row>
    <row r="190" spans="1:23" s="79" customFormat="1" ht="44.25" customHeight="1" x14ac:dyDescent="0.2">
      <c r="A190" s="212">
        <v>2</v>
      </c>
      <c r="B190" s="213" t="s">
        <v>45</v>
      </c>
      <c r="C190" s="212" t="s">
        <v>46</v>
      </c>
      <c r="D190" s="214">
        <v>208460</v>
      </c>
      <c r="E190" s="214"/>
      <c r="F190" s="215">
        <v>324</v>
      </c>
      <c r="G190" s="215"/>
      <c r="H190" s="215"/>
      <c r="I190" s="228">
        <f>D190*F190</f>
        <v>67541040</v>
      </c>
      <c r="J190" s="228"/>
      <c r="K190" s="228"/>
      <c r="L190" s="217"/>
      <c r="M190" s="217"/>
      <c r="N190" s="217"/>
      <c r="O190" s="217"/>
      <c r="P190" s="220"/>
      <c r="Q190" s="220"/>
    </row>
    <row r="191" spans="1:23" s="23" customFormat="1" ht="44.25" customHeight="1" x14ac:dyDescent="0.2">
      <c r="A191" s="13" t="s">
        <v>23</v>
      </c>
      <c r="B191" s="14" t="s">
        <v>146</v>
      </c>
      <c r="C191" s="13" t="s">
        <v>46</v>
      </c>
      <c r="D191" s="140"/>
      <c r="E191" s="140">
        <v>317900</v>
      </c>
      <c r="F191" s="66"/>
      <c r="G191" s="66">
        <f>+F190</f>
        <v>324</v>
      </c>
      <c r="H191" s="66">
        <f>0.504*365</f>
        <v>183.96</v>
      </c>
      <c r="I191" s="129"/>
      <c r="J191" s="129">
        <f>E191*G191</f>
        <v>102999600</v>
      </c>
      <c r="K191" s="129">
        <f>E191*H191</f>
        <v>58480884</v>
      </c>
      <c r="L191" s="163"/>
      <c r="M191" s="195"/>
      <c r="N191" s="195"/>
      <c r="O191" s="224"/>
      <c r="P191" s="43"/>
      <c r="Q191" s="43"/>
    </row>
    <row r="192" spans="1:23" s="23" customFormat="1" ht="44.25" customHeight="1" x14ac:dyDescent="0.2">
      <c r="A192" s="13" t="s">
        <v>23</v>
      </c>
      <c r="B192" s="14" t="s">
        <v>147</v>
      </c>
      <c r="C192" s="13" t="s">
        <v>46</v>
      </c>
      <c r="D192" s="140"/>
      <c r="E192" s="140">
        <v>272100</v>
      </c>
      <c r="F192" s="66"/>
      <c r="G192" s="66">
        <f>G191</f>
        <v>324</v>
      </c>
      <c r="H192" s="66">
        <f>H191</f>
        <v>183.96</v>
      </c>
      <c r="I192" s="129"/>
      <c r="J192" s="129">
        <f>E192*G192</f>
        <v>88160400</v>
      </c>
      <c r="K192" s="129">
        <f>E192*H192</f>
        <v>50055516</v>
      </c>
      <c r="L192" s="163"/>
      <c r="M192" s="195"/>
      <c r="N192" s="195"/>
      <c r="O192" s="224"/>
      <c r="P192" s="43"/>
      <c r="Q192" s="43"/>
    </row>
    <row r="193" spans="1:23" s="36" customFormat="1" ht="30.75" customHeight="1" x14ac:dyDescent="0.2">
      <c r="A193" s="103" t="s">
        <v>114</v>
      </c>
      <c r="B193" s="112" t="s">
        <v>5</v>
      </c>
      <c r="C193" s="110"/>
      <c r="D193" s="154"/>
      <c r="E193" s="154"/>
      <c r="F193" s="139"/>
      <c r="G193" s="139"/>
      <c r="H193" s="139"/>
      <c r="I193" s="139">
        <f t="shared" ref="I193:K193" si="93">+I194</f>
        <v>203230110.60000002</v>
      </c>
      <c r="J193" s="139">
        <f t="shared" si="93"/>
        <v>169920000</v>
      </c>
      <c r="K193" s="139">
        <f t="shared" si="93"/>
        <v>169911150</v>
      </c>
      <c r="L193" s="161"/>
      <c r="M193" s="196"/>
      <c r="N193" s="196"/>
      <c r="O193" s="184"/>
      <c r="P193" s="89"/>
      <c r="Q193" s="184"/>
      <c r="R193" s="184"/>
      <c r="S193" s="184"/>
      <c r="T193" s="184"/>
      <c r="U193" s="184"/>
      <c r="V193" s="184"/>
      <c r="W193" s="184"/>
    </row>
    <row r="194" spans="1:23" s="2" customFormat="1" ht="25.5" customHeight="1" x14ac:dyDescent="0.2">
      <c r="A194" s="6" t="s">
        <v>38</v>
      </c>
      <c r="B194" s="12" t="s">
        <v>87</v>
      </c>
      <c r="C194" s="7"/>
      <c r="D194" s="102"/>
      <c r="E194" s="102"/>
      <c r="F194" s="143"/>
      <c r="G194" s="143"/>
      <c r="H194" s="143"/>
      <c r="I194" s="143">
        <f>SUM(I195:I198)</f>
        <v>203230110.60000002</v>
      </c>
      <c r="J194" s="143">
        <f>SUM(J195:J198)</f>
        <v>169920000</v>
      </c>
      <c r="K194" s="143">
        <f>SUM(K195:K198)</f>
        <v>169911150</v>
      </c>
      <c r="L194" s="162"/>
      <c r="M194" s="192"/>
      <c r="N194" s="192"/>
      <c r="O194" s="42"/>
    </row>
    <row r="195" spans="1:23" s="79" customFormat="1" ht="35.25" customHeight="1" x14ac:dyDescent="0.2">
      <c r="A195" s="212">
        <v>1</v>
      </c>
      <c r="B195" s="213" t="s">
        <v>92</v>
      </c>
      <c r="C195" s="212" t="s">
        <v>41</v>
      </c>
      <c r="D195" s="214">
        <v>1024754</v>
      </c>
      <c r="E195" s="214"/>
      <c r="F195" s="229">
        <v>108.90000000000002</v>
      </c>
      <c r="G195" s="229"/>
      <c r="H195" s="229"/>
      <c r="I195" s="228">
        <f>D195*F195</f>
        <v>111595710.60000002</v>
      </c>
      <c r="J195" s="228"/>
      <c r="K195" s="228"/>
      <c r="L195" s="217"/>
      <c r="M195" s="218"/>
      <c r="N195" s="218"/>
      <c r="O195" s="219"/>
      <c r="P195" s="220"/>
      <c r="Q195" s="220"/>
    </row>
    <row r="196" spans="1:23" s="79" customFormat="1" ht="59.25" customHeight="1" x14ac:dyDescent="0.2">
      <c r="A196" s="212">
        <v>2</v>
      </c>
      <c r="B196" s="213" t="s">
        <v>96</v>
      </c>
      <c r="C196" s="212" t="s">
        <v>46</v>
      </c>
      <c r="D196" s="214">
        <v>318175</v>
      </c>
      <c r="E196" s="214"/>
      <c r="F196" s="229">
        <v>288</v>
      </c>
      <c r="G196" s="229"/>
      <c r="H196" s="229"/>
      <c r="I196" s="228">
        <f>D196*F196</f>
        <v>91634400</v>
      </c>
      <c r="J196" s="228"/>
      <c r="K196" s="228"/>
      <c r="L196" s="217"/>
      <c r="M196" s="218"/>
      <c r="N196" s="218"/>
      <c r="O196" s="219"/>
      <c r="P196" s="220"/>
      <c r="Q196" s="220"/>
    </row>
    <row r="197" spans="1:23" s="23" customFormat="1" ht="59.25" customHeight="1" x14ac:dyDescent="0.2">
      <c r="A197" s="13" t="s">
        <v>23</v>
      </c>
      <c r="B197" s="14" t="s">
        <v>146</v>
      </c>
      <c r="C197" s="13" t="s">
        <v>46</v>
      </c>
      <c r="D197" s="140"/>
      <c r="E197" s="140">
        <v>317900</v>
      </c>
      <c r="F197" s="144"/>
      <c r="G197" s="144">
        <f>F196</f>
        <v>288</v>
      </c>
      <c r="H197" s="144">
        <f>0.789*365</f>
        <v>287.98500000000001</v>
      </c>
      <c r="I197" s="126"/>
      <c r="J197" s="126">
        <f>E197*G197</f>
        <v>91555200</v>
      </c>
      <c r="K197" s="126">
        <f>E197*H197</f>
        <v>91550431.5</v>
      </c>
      <c r="L197" s="163"/>
      <c r="M197" s="195"/>
      <c r="N197" s="195"/>
      <c r="O197" s="45"/>
      <c r="P197" s="43"/>
      <c r="Q197" s="43"/>
    </row>
    <row r="198" spans="1:23" s="23" customFormat="1" ht="59.25" customHeight="1" x14ac:dyDescent="0.2">
      <c r="A198" s="13" t="s">
        <v>23</v>
      </c>
      <c r="B198" s="14" t="s">
        <v>147</v>
      </c>
      <c r="C198" s="13" t="s">
        <v>46</v>
      </c>
      <c r="D198" s="140"/>
      <c r="E198" s="140">
        <v>272100</v>
      </c>
      <c r="F198" s="144"/>
      <c r="G198" s="144">
        <f>G197</f>
        <v>288</v>
      </c>
      <c r="H198" s="144">
        <f>H197</f>
        <v>287.98500000000001</v>
      </c>
      <c r="I198" s="126"/>
      <c r="J198" s="126">
        <f>E198*G198</f>
        <v>78364800</v>
      </c>
      <c r="K198" s="126">
        <f>E198*H198</f>
        <v>78360718.5</v>
      </c>
      <c r="L198" s="163"/>
      <c r="M198" s="195"/>
      <c r="N198" s="195"/>
      <c r="O198" s="45"/>
      <c r="P198" s="43"/>
      <c r="Q198" s="43"/>
    </row>
    <row r="199" spans="1:23" s="36" customFormat="1" ht="30.75" customHeight="1" x14ac:dyDescent="0.2">
      <c r="A199" s="103" t="s">
        <v>115</v>
      </c>
      <c r="B199" s="112" t="s">
        <v>6</v>
      </c>
      <c r="C199" s="110"/>
      <c r="D199" s="154"/>
      <c r="E199" s="154"/>
      <c r="F199" s="139"/>
      <c r="G199" s="139"/>
      <c r="H199" s="139"/>
      <c r="I199" s="139">
        <f t="shared" ref="I199:K199" si="94">+I200</f>
        <v>143351095.86000001</v>
      </c>
      <c r="J199" s="139">
        <f t="shared" si="94"/>
        <v>144432000</v>
      </c>
      <c r="K199" s="139">
        <f t="shared" si="94"/>
        <v>162804600</v>
      </c>
      <c r="L199" s="161"/>
      <c r="M199" s="196"/>
      <c r="N199" s="196"/>
      <c r="O199" s="184"/>
      <c r="P199" s="89"/>
      <c r="Q199" s="184"/>
      <c r="R199" s="184"/>
      <c r="S199" s="184"/>
      <c r="T199" s="184"/>
      <c r="U199" s="184"/>
      <c r="V199" s="184"/>
      <c r="W199" s="184"/>
    </row>
    <row r="200" spans="1:23" s="2" customFormat="1" ht="25.5" customHeight="1" x14ac:dyDescent="0.2">
      <c r="A200" s="6" t="s">
        <v>38</v>
      </c>
      <c r="B200" s="12" t="s">
        <v>87</v>
      </c>
      <c r="C200" s="7"/>
      <c r="D200" s="102"/>
      <c r="E200" s="102"/>
      <c r="F200" s="138"/>
      <c r="G200" s="138"/>
      <c r="H200" s="138"/>
      <c r="I200" s="138">
        <f>SUM(I201:I204)</f>
        <v>143351095.86000001</v>
      </c>
      <c r="J200" s="138">
        <f>SUM(J201:J204)</f>
        <v>144432000</v>
      </c>
      <c r="K200" s="138">
        <f>SUM(K201:K204)</f>
        <v>162804600</v>
      </c>
      <c r="L200" s="162"/>
      <c r="M200" s="192"/>
      <c r="N200" s="192"/>
      <c r="O200" s="42"/>
    </row>
    <row r="201" spans="1:23" s="79" customFormat="1" ht="32.25" customHeight="1" x14ac:dyDescent="0.2">
      <c r="A201" s="212">
        <v>1</v>
      </c>
      <c r="B201" s="213" t="s">
        <v>92</v>
      </c>
      <c r="C201" s="212" t="s">
        <v>41</v>
      </c>
      <c r="D201" s="214">
        <v>1024754</v>
      </c>
      <c r="E201" s="214"/>
      <c r="F201" s="214">
        <v>90.09</v>
      </c>
      <c r="G201" s="214"/>
      <c r="H201" s="214"/>
      <c r="I201" s="225">
        <f>D201*F201</f>
        <v>92320087.859999999</v>
      </c>
      <c r="J201" s="225"/>
      <c r="K201" s="225"/>
      <c r="L201" s="217"/>
      <c r="M201" s="218"/>
      <c r="N201" s="218"/>
      <c r="O201" s="219"/>
      <c r="P201" s="220"/>
      <c r="Q201" s="220"/>
    </row>
    <row r="202" spans="1:23" s="79" customFormat="1" ht="47.25" customHeight="1" x14ac:dyDescent="0.2">
      <c r="A202" s="212">
        <v>2</v>
      </c>
      <c r="B202" s="213" t="s">
        <v>45</v>
      </c>
      <c r="C202" s="212" t="s">
        <v>46</v>
      </c>
      <c r="D202" s="214">
        <v>208460</v>
      </c>
      <c r="E202" s="214"/>
      <c r="F202" s="214">
        <v>244.8</v>
      </c>
      <c r="G202" s="214"/>
      <c r="H202" s="214"/>
      <c r="I202" s="225">
        <f>D202*F202</f>
        <v>51031008</v>
      </c>
      <c r="J202" s="225"/>
      <c r="K202" s="225"/>
      <c r="L202" s="217"/>
      <c r="M202" s="218"/>
      <c r="N202" s="218"/>
      <c r="O202" s="219"/>
      <c r="P202" s="220"/>
      <c r="Q202" s="220"/>
    </row>
    <row r="203" spans="1:23" s="23" customFormat="1" ht="47.25" customHeight="1" x14ac:dyDescent="0.2">
      <c r="A203" s="13" t="s">
        <v>23</v>
      </c>
      <c r="B203" s="14" t="s">
        <v>146</v>
      </c>
      <c r="C203" s="13" t="s">
        <v>46</v>
      </c>
      <c r="D203" s="140"/>
      <c r="E203" s="140">
        <v>317900</v>
      </c>
      <c r="F203" s="93"/>
      <c r="G203" s="93">
        <f>F202</f>
        <v>244.8</v>
      </c>
      <c r="H203" s="93">
        <f>0.756*365</f>
        <v>275.94</v>
      </c>
      <c r="I203" s="125"/>
      <c r="J203" s="125">
        <f>E203*G203</f>
        <v>77821920</v>
      </c>
      <c r="K203" s="125">
        <f>E203*H203</f>
        <v>87721326</v>
      </c>
      <c r="L203" s="163"/>
      <c r="M203" s="195"/>
      <c r="N203" s="195"/>
      <c r="O203" s="45"/>
      <c r="P203" s="43"/>
      <c r="Q203" s="43"/>
    </row>
    <row r="204" spans="1:23" s="23" customFormat="1" ht="47.25" customHeight="1" x14ac:dyDescent="0.2">
      <c r="A204" s="13" t="s">
        <v>23</v>
      </c>
      <c r="B204" s="14" t="s">
        <v>147</v>
      </c>
      <c r="C204" s="13" t="s">
        <v>46</v>
      </c>
      <c r="D204" s="140"/>
      <c r="E204" s="140">
        <v>272100</v>
      </c>
      <c r="F204" s="93"/>
      <c r="G204" s="93">
        <f>G203</f>
        <v>244.8</v>
      </c>
      <c r="H204" s="93">
        <f>H203</f>
        <v>275.94</v>
      </c>
      <c r="I204" s="125"/>
      <c r="J204" s="125">
        <f>E204*G204</f>
        <v>66610080</v>
      </c>
      <c r="K204" s="125">
        <f>E204*H204</f>
        <v>75083274</v>
      </c>
      <c r="L204" s="163"/>
      <c r="M204" s="195"/>
      <c r="N204" s="195"/>
      <c r="O204" s="45"/>
      <c r="P204" s="43"/>
      <c r="Q204" s="43"/>
    </row>
    <row r="205" spans="1:23" s="36" customFormat="1" ht="30.75" customHeight="1" x14ac:dyDescent="0.2">
      <c r="A205" s="103" t="s">
        <v>116</v>
      </c>
      <c r="B205" s="112" t="s">
        <v>7</v>
      </c>
      <c r="C205" s="110"/>
      <c r="D205" s="154"/>
      <c r="E205" s="154"/>
      <c r="F205" s="139"/>
      <c r="G205" s="139"/>
      <c r="H205" s="139"/>
      <c r="I205" s="139">
        <f t="shared" ref="I205:K205" si="95">+I206</f>
        <v>158992806.59999993</v>
      </c>
      <c r="J205" s="139">
        <f t="shared" si="95"/>
        <v>127439999.99999979</v>
      </c>
      <c r="K205" s="139">
        <f t="shared" si="95"/>
        <v>171849300.00000003</v>
      </c>
      <c r="L205" s="161"/>
      <c r="M205" s="196"/>
      <c r="N205" s="196"/>
      <c r="O205" s="184"/>
      <c r="P205" s="89"/>
      <c r="Q205" s="184"/>
      <c r="R205" s="184"/>
      <c r="S205" s="184"/>
      <c r="T205" s="184"/>
      <c r="U205" s="184"/>
      <c r="V205" s="184"/>
      <c r="W205" s="184"/>
    </row>
    <row r="206" spans="1:23" s="2" customFormat="1" ht="25.5" customHeight="1" x14ac:dyDescent="0.2">
      <c r="A206" s="6" t="s">
        <v>38</v>
      </c>
      <c r="B206" s="12" t="s">
        <v>87</v>
      </c>
      <c r="C206" s="7"/>
      <c r="D206" s="102"/>
      <c r="E206" s="102"/>
      <c r="F206" s="143"/>
      <c r="G206" s="143"/>
      <c r="H206" s="143"/>
      <c r="I206" s="143">
        <f>SUM(I207:I210)</f>
        <v>158992806.59999993</v>
      </c>
      <c r="J206" s="143">
        <f>SUM(J207:J210)</f>
        <v>127439999.99999979</v>
      </c>
      <c r="K206" s="143">
        <f>SUM(K207:K210)</f>
        <v>171849300.00000003</v>
      </c>
      <c r="L206" s="162"/>
      <c r="M206" s="192"/>
      <c r="N206" s="192"/>
      <c r="O206" s="42"/>
    </row>
    <row r="207" spans="1:23" s="79" customFormat="1" ht="28.5" customHeight="1" x14ac:dyDescent="0.2">
      <c r="A207" s="212">
        <v>1</v>
      </c>
      <c r="B207" s="213" t="s">
        <v>92</v>
      </c>
      <c r="C207" s="212" t="s">
        <v>41</v>
      </c>
      <c r="D207" s="214">
        <v>1024754</v>
      </c>
      <c r="E207" s="214"/>
      <c r="F207" s="229">
        <v>108.90000000000002</v>
      </c>
      <c r="G207" s="229"/>
      <c r="H207" s="229"/>
      <c r="I207" s="228">
        <f>D207*F207</f>
        <v>111595710.60000002</v>
      </c>
      <c r="J207" s="228"/>
      <c r="K207" s="228"/>
      <c r="L207" s="217"/>
      <c r="M207" s="218"/>
      <c r="N207" s="218"/>
      <c r="O207" s="219"/>
      <c r="P207" s="220"/>
      <c r="Q207" s="220"/>
    </row>
    <row r="208" spans="1:23" s="79" customFormat="1" ht="60" customHeight="1" x14ac:dyDescent="0.2">
      <c r="A208" s="212">
        <v>2</v>
      </c>
      <c r="B208" s="213" t="s">
        <v>90</v>
      </c>
      <c r="C208" s="212" t="s">
        <v>46</v>
      </c>
      <c r="D208" s="214">
        <v>219431</v>
      </c>
      <c r="E208" s="214"/>
      <c r="F208" s="214">
        <v>215.99999999999963</v>
      </c>
      <c r="G208" s="214"/>
      <c r="H208" s="214"/>
      <c r="I208" s="228">
        <f>D208*F208</f>
        <v>47397095.999999918</v>
      </c>
      <c r="J208" s="228"/>
      <c r="K208" s="228"/>
      <c r="L208" s="217"/>
      <c r="M208" s="218"/>
      <c r="N208" s="218"/>
      <c r="O208" s="219"/>
      <c r="P208" s="220"/>
      <c r="Q208" s="220"/>
    </row>
    <row r="209" spans="1:251" s="23" customFormat="1" ht="60" customHeight="1" x14ac:dyDescent="0.2">
      <c r="A209" s="13" t="s">
        <v>23</v>
      </c>
      <c r="B209" s="14" t="s">
        <v>146</v>
      </c>
      <c r="C209" s="13" t="s">
        <v>46</v>
      </c>
      <c r="D209" s="140"/>
      <c r="E209" s="140">
        <v>317900</v>
      </c>
      <c r="F209" s="93"/>
      <c r="G209" s="93">
        <f>F208</f>
        <v>215.99999999999963</v>
      </c>
      <c r="H209" s="93">
        <f>0.798*365</f>
        <v>291.27000000000004</v>
      </c>
      <c r="I209" s="126"/>
      <c r="J209" s="126">
        <f>E209*G209</f>
        <v>68666399.999999881</v>
      </c>
      <c r="K209" s="126">
        <f>E209*H209</f>
        <v>92594733.000000015</v>
      </c>
      <c r="L209" s="163"/>
      <c r="M209" s="195"/>
      <c r="N209" s="195"/>
      <c r="O209" s="45"/>
      <c r="P209" s="43"/>
      <c r="Q209" s="43"/>
    </row>
    <row r="210" spans="1:251" s="23" customFormat="1" ht="60" customHeight="1" x14ac:dyDescent="0.2">
      <c r="A210" s="13" t="s">
        <v>23</v>
      </c>
      <c r="B210" s="14" t="s">
        <v>147</v>
      </c>
      <c r="C210" s="13" t="s">
        <v>46</v>
      </c>
      <c r="D210" s="140"/>
      <c r="E210" s="140">
        <v>272100</v>
      </c>
      <c r="F210" s="93"/>
      <c r="G210" s="93">
        <f>G209</f>
        <v>215.99999999999963</v>
      </c>
      <c r="H210" s="93">
        <f>H209</f>
        <v>291.27000000000004</v>
      </c>
      <c r="I210" s="126"/>
      <c r="J210" s="126">
        <f>E210*G210</f>
        <v>58773599.999999903</v>
      </c>
      <c r="K210" s="126">
        <f>E210*H210</f>
        <v>79254567.000000015</v>
      </c>
      <c r="L210" s="163"/>
      <c r="M210" s="195"/>
      <c r="N210" s="195"/>
      <c r="O210" s="45"/>
      <c r="P210" s="43"/>
      <c r="Q210" s="43"/>
    </row>
    <row r="211" spans="1:251" s="36" customFormat="1" ht="30.75" customHeight="1" x14ac:dyDescent="0.2">
      <c r="A211" s="103" t="s">
        <v>117</v>
      </c>
      <c r="B211" s="112" t="s">
        <v>10</v>
      </c>
      <c r="C211" s="110"/>
      <c r="D211" s="154"/>
      <c r="E211" s="154"/>
      <c r="F211" s="139"/>
      <c r="G211" s="139"/>
      <c r="H211" s="139"/>
      <c r="I211" s="139">
        <f t="shared" ref="I211:K211" si="96">+I212</f>
        <v>308345166.35999995</v>
      </c>
      <c r="J211" s="139">
        <f t="shared" si="96"/>
        <v>71366400</v>
      </c>
      <c r="K211" s="139">
        <f t="shared" si="96"/>
        <v>180893999.99999997</v>
      </c>
      <c r="L211" s="161"/>
      <c r="M211" s="196"/>
      <c r="N211" s="196"/>
      <c r="O211" s="184"/>
      <c r="P211" s="89"/>
      <c r="Q211" s="184"/>
      <c r="R211" s="184"/>
      <c r="S211" s="184"/>
      <c r="T211" s="184"/>
      <c r="U211" s="184"/>
      <c r="V211" s="184"/>
      <c r="W211" s="184"/>
    </row>
    <row r="212" spans="1:251" s="2" customFormat="1" ht="24.75" customHeight="1" x14ac:dyDescent="0.2">
      <c r="A212" s="6" t="s">
        <v>38</v>
      </c>
      <c r="B212" s="12" t="s">
        <v>87</v>
      </c>
      <c r="C212" s="7"/>
      <c r="D212" s="102"/>
      <c r="E212" s="102"/>
      <c r="F212" s="143"/>
      <c r="G212" s="143"/>
      <c r="H212" s="143"/>
      <c r="I212" s="143">
        <f>SUM(I213:I216)</f>
        <v>308345166.35999995</v>
      </c>
      <c r="J212" s="143">
        <f>SUM(J213:J216)</f>
        <v>71366400</v>
      </c>
      <c r="K212" s="143">
        <f>SUM(K213:K216)</f>
        <v>180893999.99999997</v>
      </c>
      <c r="L212" s="162"/>
      <c r="M212" s="192"/>
      <c r="N212" s="192"/>
      <c r="O212" s="48"/>
    </row>
    <row r="213" spans="1:251" s="230" customFormat="1" ht="30" customHeight="1" x14ac:dyDescent="0.2">
      <c r="A213" s="212">
        <v>1</v>
      </c>
      <c r="B213" s="213" t="s">
        <v>92</v>
      </c>
      <c r="C213" s="212" t="s">
        <v>41</v>
      </c>
      <c r="D213" s="214">
        <v>1024754</v>
      </c>
      <c r="E213" s="214"/>
      <c r="F213" s="229">
        <v>263.33999999999997</v>
      </c>
      <c r="G213" s="229"/>
      <c r="H213" s="229"/>
      <c r="I213" s="228">
        <f>D213*F213</f>
        <v>269858718.35999995</v>
      </c>
      <c r="J213" s="228"/>
      <c r="K213" s="228"/>
      <c r="L213" s="217"/>
      <c r="M213" s="217"/>
      <c r="N213" s="217"/>
      <c r="O213" s="217" t="s">
        <v>93</v>
      </c>
      <c r="P213" s="220"/>
      <c r="Q213" s="220"/>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c r="BS213" s="79"/>
      <c r="BT213" s="79"/>
      <c r="BU213" s="79"/>
      <c r="BV213" s="79"/>
      <c r="BW213" s="79"/>
      <c r="BX213" s="79"/>
      <c r="BY213" s="79"/>
      <c r="BZ213" s="79"/>
      <c r="CA213" s="79"/>
      <c r="CB213" s="79"/>
      <c r="CC213" s="79"/>
      <c r="CD213" s="79"/>
      <c r="CE213" s="79"/>
      <c r="CF213" s="79"/>
      <c r="CG213" s="79"/>
      <c r="CH213" s="79"/>
      <c r="CI213" s="79"/>
      <c r="CJ213" s="79"/>
      <c r="CK213" s="79"/>
      <c r="CL213" s="79"/>
      <c r="CM213" s="79"/>
      <c r="CN213" s="79"/>
      <c r="CO213" s="79"/>
      <c r="CP213" s="79"/>
      <c r="CQ213" s="79"/>
      <c r="CR213" s="79"/>
      <c r="CS213" s="79"/>
      <c r="CT213" s="79"/>
      <c r="CU213" s="79"/>
      <c r="CV213" s="79"/>
      <c r="CW213" s="79"/>
      <c r="CX213" s="79"/>
      <c r="CY213" s="79"/>
      <c r="CZ213" s="79"/>
      <c r="DA213" s="79"/>
      <c r="DB213" s="79"/>
      <c r="DC213" s="79"/>
      <c r="DD213" s="79"/>
      <c r="DE213" s="79"/>
      <c r="DF213" s="79"/>
      <c r="DG213" s="79"/>
      <c r="DH213" s="79"/>
      <c r="DI213" s="79"/>
      <c r="DJ213" s="79"/>
      <c r="DK213" s="79"/>
      <c r="DL213" s="79"/>
      <c r="DM213" s="79"/>
      <c r="DN213" s="79"/>
      <c r="DO213" s="79"/>
      <c r="DP213" s="79"/>
      <c r="DQ213" s="79"/>
      <c r="DR213" s="79"/>
      <c r="DS213" s="79"/>
      <c r="DT213" s="79"/>
      <c r="DU213" s="79"/>
      <c r="DV213" s="79"/>
      <c r="DW213" s="79"/>
      <c r="DX213" s="79"/>
      <c r="DY213" s="79"/>
      <c r="DZ213" s="79"/>
      <c r="EA213" s="79"/>
      <c r="EB213" s="79"/>
      <c r="EC213" s="79"/>
      <c r="ED213" s="79"/>
      <c r="EE213" s="79"/>
      <c r="EF213" s="79"/>
      <c r="EG213" s="79"/>
      <c r="EH213" s="79"/>
      <c r="EI213" s="79"/>
      <c r="EJ213" s="79"/>
      <c r="EK213" s="79"/>
      <c r="EL213" s="79"/>
      <c r="EM213" s="79"/>
      <c r="EN213" s="79"/>
      <c r="EO213" s="79"/>
      <c r="EP213" s="79"/>
      <c r="EQ213" s="79"/>
      <c r="ER213" s="79"/>
      <c r="ES213" s="79"/>
      <c r="ET213" s="79"/>
      <c r="EU213" s="79"/>
      <c r="EV213" s="79"/>
      <c r="EW213" s="79"/>
      <c r="EX213" s="79"/>
      <c r="EY213" s="79"/>
      <c r="EZ213" s="79"/>
      <c r="FA213" s="79"/>
      <c r="FB213" s="79"/>
      <c r="FC213" s="79"/>
      <c r="FD213" s="79"/>
      <c r="FE213" s="79"/>
      <c r="FF213" s="79"/>
      <c r="FG213" s="79"/>
      <c r="FH213" s="79"/>
      <c r="FI213" s="79"/>
      <c r="FJ213" s="79"/>
      <c r="FK213" s="79"/>
      <c r="FL213" s="79"/>
      <c r="FM213" s="79"/>
      <c r="FN213" s="79"/>
      <c r="FO213" s="79"/>
      <c r="FP213" s="79"/>
      <c r="FQ213" s="79"/>
      <c r="FR213" s="79"/>
      <c r="FS213" s="79"/>
      <c r="FT213" s="79"/>
      <c r="FU213" s="79"/>
      <c r="FV213" s="79"/>
      <c r="FW213" s="79"/>
      <c r="FX213" s="79"/>
      <c r="FY213" s="79"/>
      <c r="FZ213" s="79"/>
      <c r="GA213" s="79"/>
      <c r="GB213" s="79"/>
      <c r="GC213" s="79"/>
      <c r="GD213" s="79"/>
      <c r="GE213" s="79"/>
      <c r="GF213" s="79"/>
      <c r="GG213" s="79"/>
      <c r="GH213" s="79"/>
      <c r="GI213" s="79"/>
      <c r="GJ213" s="79"/>
      <c r="GK213" s="79"/>
      <c r="GL213" s="79"/>
      <c r="GM213" s="79"/>
      <c r="GN213" s="79"/>
      <c r="GO213" s="79"/>
      <c r="GP213" s="79"/>
      <c r="GQ213" s="79"/>
      <c r="GR213" s="79"/>
      <c r="GS213" s="79"/>
      <c r="GT213" s="79"/>
      <c r="GU213" s="79"/>
      <c r="GV213" s="79"/>
      <c r="GW213" s="79"/>
      <c r="GX213" s="79"/>
      <c r="GY213" s="79"/>
      <c r="GZ213" s="79"/>
      <c r="HA213" s="79"/>
      <c r="HB213" s="79"/>
      <c r="HC213" s="79"/>
      <c r="HD213" s="79"/>
      <c r="HE213" s="79"/>
      <c r="HF213" s="79"/>
      <c r="HG213" s="79"/>
      <c r="HH213" s="79"/>
      <c r="HI213" s="79"/>
      <c r="HJ213" s="79"/>
      <c r="HK213" s="79"/>
      <c r="HL213" s="79"/>
      <c r="HM213" s="79"/>
      <c r="HN213" s="79"/>
      <c r="HO213" s="79"/>
      <c r="HP213" s="79"/>
      <c r="HQ213" s="79"/>
      <c r="HR213" s="79"/>
      <c r="HS213" s="79"/>
      <c r="HT213" s="79"/>
      <c r="HU213" s="79"/>
      <c r="HV213" s="79"/>
      <c r="HW213" s="79"/>
      <c r="HX213" s="79"/>
      <c r="HY213" s="79"/>
      <c r="HZ213" s="79"/>
      <c r="IA213" s="79"/>
      <c r="IB213" s="79"/>
      <c r="IC213" s="79"/>
      <c r="ID213" s="79"/>
      <c r="IE213" s="79"/>
      <c r="IF213" s="79"/>
      <c r="IG213" s="79"/>
      <c r="IH213" s="79"/>
      <c r="II213" s="79"/>
      <c r="IJ213" s="79"/>
      <c r="IK213" s="79"/>
      <c r="IL213" s="79"/>
      <c r="IM213" s="79"/>
      <c r="IN213" s="79"/>
      <c r="IO213" s="79"/>
      <c r="IP213" s="79"/>
      <c r="IQ213" s="79"/>
    </row>
    <row r="214" spans="1:251" s="230" customFormat="1" ht="55.5" customHeight="1" x14ac:dyDescent="0.2">
      <c r="A214" s="212">
        <v>2</v>
      </c>
      <c r="B214" s="213" t="s">
        <v>96</v>
      </c>
      <c r="C214" s="212" t="s">
        <v>46</v>
      </c>
      <c r="D214" s="214">
        <v>318175</v>
      </c>
      <c r="E214" s="214"/>
      <c r="F214" s="229">
        <v>120.96000000000001</v>
      </c>
      <c r="G214" s="229"/>
      <c r="H214" s="229"/>
      <c r="I214" s="228">
        <f>D214*F214</f>
        <v>38486448</v>
      </c>
      <c r="J214" s="228"/>
      <c r="K214" s="228"/>
      <c r="L214" s="217"/>
      <c r="M214" s="217"/>
      <c r="N214" s="217"/>
      <c r="O214" s="217" t="s">
        <v>98</v>
      </c>
      <c r="P214" s="220"/>
      <c r="Q214" s="220"/>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c r="BS214" s="79"/>
      <c r="BT214" s="79"/>
      <c r="BU214" s="79"/>
      <c r="BV214" s="79"/>
      <c r="BW214" s="79"/>
      <c r="BX214" s="79"/>
      <c r="BY214" s="79"/>
      <c r="BZ214" s="79"/>
      <c r="CA214" s="79"/>
      <c r="CB214" s="79"/>
      <c r="CC214" s="79"/>
      <c r="CD214" s="79"/>
      <c r="CE214" s="79"/>
      <c r="CF214" s="79"/>
      <c r="CG214" s="79"/>
      <c r="CH214" s="79"/>
      <c r="CI214" s="79"/>
      <c r="CJ214" s="79"/>
      <c r="CK214" s="79"/>
      <c r="CL214" s="79"/>
      <c r="CM214" s="79"/>
      <c r="CN214" s="79"/>
      <c r="CO214" s="79"/>
      <c r="CP214" s="79"/>
      <c r="CQ214" s="79"/>
      <c r="CR214" s="79"/>
      <c r="CS214" s="79"/>
      <c r="CT214" s="79"/>
      <c r="CU214" s="79"/>
      <c r="CV214" s="79"/>
      <c r="CW214" s="79"/>
      <c r="CX214" s="79"/>
      <c r="CY214" s="79"/>
      <c r="CZ214" s="79"/>
      <c r="DA214" s="79"/>
      <c r="DB214" s="79"/>
      <c r="DC214" s="79"/>
      <c r="DD214" s="79"/>
      <c r="DE214" s="79"/>
      <c r="DF214" s="79"/>
      <c r="DG214" s="79"/>
      <c r="DH214" s="79"/>
      <c r="DI214" s="79"/>
      <c r="DJ214" s="79"/>
      <c r="DK214" s="79"/>
      <c r="DL214" s="79"/>
      <c r="DM214" s="79"/>
      <c r="DN214" s="79"/>
      <c r="DO214" s="79"/>
      <c r="DP214" s="79"/>
      <c r="DQ214" s="79"/>
      <c r="DR214" s="79"/>
      <c r="DS214" s="79"/>
      <c r="DT214" s="79"/>
      <c r="DU214" s="79"/>
      <c r="DV214" s="79"/>
      <c r="DW214" s="79"/>
      <c r="DX214" s="79"/>
      <c r="DY214" s="79"/>
      <c r="DZ214" s="79"/>
      <c r="EA214" s="79"/>
      <c r="EB214" s="79"/>
      <c r="EC214" s="79"/>
      <c r="ED214" s="79"/>
      <c r="EE214" s="79"/>
      <c r="EF214" s="79"/>
      <c r="EG214" s="79"/>
      <c r="EH214" s="79"/>
      <c r="EI214" s="79"/>
      <c r="EJ214" s="79"/>
      <c r="EK214" s="79"/>
      <c r="EL214" s="79"/>
      <c r="EM214" s="79"/>
      <c r="EN214" s="79"/>
      <c r="EO214" s="79"/>
      <c r="EP214" s="79"/>
      <c r="EQ214" s="79"/>
      <c r="ER214" s="79"/>
      <c r="ES214" s="79"/>
      <c r="ET214" s="79"/>
      <c r="EU214" s="79"/>
      <c r="EV214" s="79"/>
      <c r="EW214" s="79"/>
      <c r="EX214" s="79"/>
      <c r="EY214" s="79"/>
      <c r="EZ214" s="79"/>
      <c r="FA214" s="79"/>
      <c r="FB214" s="79"/>
      <c r="FC214" s="79"/>
      <c r="FD214" s="79"/>
      <c r="FE214" s="79"/>
      <c r="FF214" s="79"/>
      <c r="FG214" s="79"/>
      <c r="FH214" s="79"/>
      <c r="FI214" s="79"/>
      <c r="FJ214" s="79"/>
      <c r="FK214" s="79"/>
      <c r="FL214" s="79"/>
      <c r="FM214" s="79"/>
      <c r="FN214" s="79"/>
      <c r="FO214" s="79"/>
      <c r="FP214" s="79"/>
      <c r="FQ214" s="79"/>
      <c r="FR214" s="79"/>
      <c r="FS214" s="79"/>
      <c r="FT214" s="79"/>
      <c r="FU214" s="79"/>
      <c r="FV214" s="79"/>
      <c r="FW214" s="79"/>
      <c r="FX214" s="79"/>
      <c r="FY214" s="79"/>
      <c r="FZ214" s="79"/>
      <c r="GA214" s="79"/>
      <c r="GB214" s="79"/>
      <c r="GC214" s="79"/>
      <c r="GD214" s="79"/>
      <c r="GE214" s="79"/>
      <c r="GF214" s="79"/>
      <c r="GG214" s="79"/>
      <c r="GH214" s="79"/>
      <c r="GI214" s="79"/>
      <c r="GJ214" s="79"/>
      <c r="GK214" s="79"/>
      <c r="GL214" s="79"/>
      <c r="GM214" s="79"/>
      <c r="GN214" s="79"/>
      <c r="GO214" s="79"/>
      <c r="GP214" s="79"/>
      <c r="GQ214" s="79"/>
      <c r="GR214" s="79"/>
      <c r="GS214" s="79"/>
      <c r="GT214" s="79"/>
      <c r="GU214" s="79"/>
      <c r="GV214" s="79"/>
      <c r="GW214" s="79"/>
      <c r="GX214" s="79"/>
      <c r="GY214" s="79"/>
      <c r="GZ214" s="79"/>
      <c r="HA214" s="79"/>
      <c r="HB214" s="79"/>
      <c r="HC214" s="79"/>
      <c r="HD214" s="79"/>
      <c r="HE214" s="79"/>
      <c r="HF214" s="79"/>
      <c r="HG214" s="79"/>
      <c r="HH214" s="79"/>
      <c r="HI214" s="79"/>
      <c r="HJ214" s="79"/>
      <c r="HK214" s="79"/>
      <c r="HL214" s="79"/>
      <c r="HM214" s="79"/>
      <c r="HN214" s="79"/>
      <c r="HO214" s="79"/>
      <c r="HP214" s="79"/>
      <c r="HQ214" s="79"/>
      <c r="HR214" s="79"/>
      <c r="HS214" s="79"/>
      <c r="HT214" s="79"/>
      <c r="HU214" s="79"/>
      <c r="HV214" s="79"/>
      <c r="HW214" s="79"/>
      <c r="HX214" s="79"/>
      <c r="HY214" s="79"/>
      <c r="HZ214" s="79"/>
      <c r="IA214" s="79"/>
      <c r="IB214" s="79"/>
      <c r="IC214" s="79"/>
      <c r="ID214" s="79"/>
      <c r="IE214" s="79"/>
      <c r="IF214" s="79"/>
      <c r="IG214" s="79"/>
      <c r="IH214" s="79"/>
      <c r="II214" s="79"/>
      <c r="IJ214" s="79"/>
      <c r="IK214" s="79"/>
      <c r="IL214" s="79"/>
      <c r="IM214" s="79"/>
      <c r="IN214" s="79"/>
      <c r="IO214" s="79"/>
      <c r="IP214" s="79"/>
      <c r="IQ214" s="79"/>
    </row>
    <row r="215" spans="1:251" ht="55.5" customHeight="1" x14ac:dyDescent="0.2">
      <c r="A215" s="13" t="s">
        <v>23</v>
      </c>
      <c r="B215" s="14" t="s">
        <v>146</v>
      </c>
      <c r="C215" s="13" t="s">
        <v>46</v>
      </c>
      <c r="D215" s="140"/>
      <c r="E215" s="140">
        <v>317900</v>
      </c>
      <c r="F215" s="144"/>
      <c r="G215" s="144">
        <f>F214</f>
        <v>120.96000000000001</v>
      </c>
      <c r="H215" s="144">
        <f>0.84*365</f>
        <v>306.59999999999997</v>
      </c>
      <c r="I215" s="126"/>
      <c r="J215" s="126">
        <f>E215*G215</f>
        <v>38453184</v>
      </c>
      <c r="K215" s="126">
        <f>E215*H215</f>
        <v>97468139.999999985</v>
      </c>
      <c r="L215" s="163"/>
      <c r="M215" s="195"/>
      <c r="N215" s="195"/>
      <c r="O215" s="145"/>
      <c r="P215" s="33"/>
      <c r="Q215" s="33"/>
      <c r="IO215" s="1"/>
      <c r="IP215" s="1"/>
      <c r="IQ215" s="1"/>
    </row>
    <row r="216" spans="1:251" ht="55.5" customHeight="1" x14ac:dyDescent="0.2">
      <c r="A216" s="13" t="s">
        <v>23</v>
      </c>
      <c r="B216" s="14" t="s">
        <v>147</v>
      </c>
      <c r="C216" s="13" t="s">
        <v>46</v>
      </c>
      <c r="D216" s="140"/>
      <c r="E216" s="140">
        <v>272100</v>
      </c>
      <c r="F216" s="144"/>
      <c r="G216" s="144">
        <f>G215</f>
        <v>120.96000000000001</v>
      </c>
      <c r="H216" s="144">
        <f>H215</f>
        <v>306.59999999999997</v>
      </c>
      <c r="I216" s="126"/>
      <c r="J216" s="126">
        <f>E216*G216</f>
        <v>32913216.000000004</v>
      </c>
      <c r="K216" s="126">
        <f>E216*H216</f>
        <v>83425859.999999985</v>
      </c>
      <c r="L216" s="163"/>
      <c r="M216" s="195"/>
      <c r="N216" s="195"/>
      <c r="O216" s="145"/>
      <c r="P216" s="33"/>
      <c r="Q216" s="33"/>
      <c r="IO216" s="1"/>
      <c r="IP216" s="1"/>
      <c r="IQ216" s="1"/>
    </row>
    <row r="217" spans="1:251" s="36" customFormat="1" ht="30.75" customHeight="1" x14ac:dyDescent="0.2">
      <c r="A217" s="103" t="s">
        <v>118</v>
      </c>
      <c r="B217" s="112" t="s">
        <v>9</v>
      </c>
      <c r="C217" s="110"/>
      <c r="D217" s="154"/>
      <c r="E217" s="154"/>
      <c r="F217" s="139"/>
      <c r="G217" s="139"/>
      <c r="H217" s="139"/>
      <c r="I217" s="139">
        <f t="shared" ref="I217:K217" si="97">+I218</f>
        <v>526431656.52000004</v>
      </c>
      <c r="J217" s="139">
        <f t="shared" si="97"/>
        <v>107049600</v>
      </c>
      <c r="K217" s="139">
        <f t="shared" si="97"/>
        <v>235162200.00000003</v>
      </c>
      <c r="L217" s="161"/>
      <c r="M217" s="196"/>
      <c r="N217" s="196"/>
      <c r="O217" s="184"/>
      <c r="P217" s="89"/>
      <c r="Q217" s="184"/>
      <c r="R217" s="184"/>
      <c r="S217" s="184"/>
      <c r="T217" s="184"/>
      <c r="U217" s="184"/>
      <c r="V217" s="184"/>
      <c r="W217" s="184"/>
    </row>
    <row r="218" spans="1:251" s="2" customFormat="1" ht="23.25" customHeight="1" x14ac:dyDescent="0.2">
      <c r="A218" s="6" t="s">
        <v>38</v>
      </c>
      <c r="B218" s="12" t="s">
        <v>87</v>
      </c>
      <c r="C218" s="7"/>
      <c r="D218" s="102"/>
      <c r="E218" s="102"/>
      <c r="F218" s="144"/>
      <c r="G218" s="144"/>
      <c r="H218" s="144"/>
      <c r="I218" s="143">
        <f>SUM(I219:I222)</f>
        <v>526431656.52000004</v>
      </c>
      <c r="J218" s="143">
        <f>SUM(J219:J222)</f>
        <v>107049600</v>
      </c>
      <c r="K218" s="143">
        <f>SUM(K219:K222)</f>
        <v>235162200.00000003</v>
      </c>
      <c r="L218" s="162"/>
      <c r="M218" s="192"/>
      <c r="N218" s="192"/>
      <c r="O218" s="48"/>
      <c r="P218" s="49"/>
    </row>
    <row r="219" spans="1:251" s="230" customFormat="1" ht="31.5" customHeight="1" x14ac:dyDescent="0.2">
      <c r="A219" s="212">
        <v>1</v>
      </c>
      <c r="B219" s="213" t="s">
        <v>92</v>
      </c>
      <c r="C219" s="212" t="s">
        <v>41</v>
      </c>
      <c r="D219" s="214">
        <v>1024754</v>
      </c>
      <c r="E219" s="214"/>
      <c r="F219" s="229">
        <v>457.38000000000005</v>
      </c>
      <c r="G219" s="229"/>
      <c r="H219" s="229"/>
      <c r="I219" s="228">
        <f>D219*F219</f>
        <v>468701984.52000004</v>
      </c>
      <c r="J219" s="228"/>
      <c r="K219" s="228"/>
      <c r="L219" s="217"/>
      <c r="M219" s="217"/>
      <c r="N219" s="217"/>
      <c r="O219" s="217" t="s">
        <v>93</v>
      </c>
      <c r="P219" s="220"/>
      <c r="Q219" s="220"/>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c r="BS219" s="79"/>
      <c r="BT219" s="79"/>
      <c r="BU219" s="79"/>
      <c r="BV219" s="79"/>
      <c r="BW219" s="79"/>
      <c r="BX219" s="79"/>
      <c r="BY219" s="79"/>
      <c r="BZ219" s="79"/>
      <c r="CA219" s="79"/>
      <c r="CB219" s="79"/>
      <c r="CC219" s="79"/>
      <c r="CD219" s="79"/>
      <c r="CE219" s="79"/>
      <c r="CF219" s="79"/>
      <c r="CG219" s="79"/>
      <c r="CH219" s="79"/>
      <c r="CI219" s="79"/>
      <c r="CJ219" s="79"/>
      <c r="CK219" s="79"/>
      <c r="CL219" s="79"/>
      <c r="CM219" s="79"/>
      <c r="CN219" s="79"/>
      <c r="CO219" s="79"/>
      <c r="CP219" s="79"/>
      <c r="CQ219" s="79"/>
      <c r="CR219" s="79"/>
      <c r="CS219" s="79"/>
      <c r="CT219" s="79"/>
      <c r="CU219" s="79"/>
      <c r="CV219" s="79"/>
      <c r="CW219" s="79"/>
      <c r="CX219" s="79"/>
      <c r="CY219" s="79"/>
      <c r="CZ219" s="79"/>
      <c r="DA219" s="79"/>
      <c r="DB219" s="79"/>
      <c r="DC219" s="79"/>
      <c r="DD219" s="79"/>
      <c r="DE219" s="79"/>
      <c r="DF219" s="79"/>
      <c r="DG219" s="79"/>
      <c r="DH219" s="79"/>
      <c r="DI219" s="79"/>
      <c r="DJ219" s="79"/>
      <c r="DK219" s="79"/>
      <c r="DL219" s="79"/>
      <c r="DM219" s="79"/>
      <c r="DN219" s="79"/>
      <c r="DO219" s="79"/>
      <c r="DP219" s="79"/>
      <c r="DQ219" s="79"/>
      <c r="DR219" s="79"/>
      <c r="DS219" s="79"/>
      <c r="DT219" s="79"/>
      <c r="DU219" s="79"/>
      <c r="DV219" s="79"/>
      <c r="DW219" s="79"/>
      <c r="DX219" s="79"/>
      <c r="DY219" s="79"/>
      <c r="DZ219" s="79"/>
      <c r="EA219" s="79"/>
      <c r="EB219" s="79"/>
      <c r="EC219" s="79"/>
      <c r="ED219" s="79"/>
      <c r="EE219" s="79"/>
      <c r="EF219" s="79"/>
      <c r="EG219" s="79"/>
      <c r="EH219" s="79"/>
      <c r="EI219" s="79"/>
      <c r="EJ219" s="79"/>
      <c r="EK219" s="79"/>
      <c r="EL219" s="79"/>
      <c r="EM219" s="79"/>
      <c r="EN219" s="79"/>
      <c r="EO219" s="79"/>
      <c r="EP219" s="79"/>
      <c r="EQ219" s="79"/>
      <c r="ER219" s="79"/>
      <c r="ES219" s="79"/>
      <c r="ET219" s="79"/>
      <c r="EU219" s="79"/>
      <c r="EV219" s="79"/>
      <c r="EW219" s="79"/>
      <c r="EX219" s="79"/>
      <c r="EY219" s="79"/>
      <c r="EZ219" s="79"/>
      <c r="FA219" s="79"/>
      <c r="FB219" s="79"/>
      <c r="FC219" s="79"/>
      <c r="FD219" s="79"/>
      <c r="FE219" s="79"/>
      <c r="FF219" s="79"/>
      <c r="FG219" s="79"/>
      <c r="FH219" s="79"/>
      <c r="FI219" s="79"/>
      <c r="FJ219" s="79"/>
      <c r="FK219" s="79"/>
      <c r="FL219" s="79"/>
      <c r="FM219" s="79"/>
      <c r="FN219" s="79"/>
      <c r="FO219" s="79"/>
      <c r="FP219" s="79"/>
      <c r="FQ219" s="79"/>
      <c r="FR219" s="79"/>
      <c r="FS219" s="79"/>
      <c r="FT219" s="79"/>
      <c r="FU219" s="79"/>
      <c r="FV219" s="79"/>
      <c r="FW219" s="79"/>
      <c r="FX219" s="79"/>
      <c r="FY219" s="79"/>
      <c r="FZ219" s="79"/>
      <c r="GA219" s="79"/>
      <c r="GB219" s="79"/>
      <c r="GC219" s="79"/>
      <c r="GD219" s="79"/>
      <c r="GE219" s="79"/>
      <c r="GF219" s="79"/>
      <c r="GG219" s="79"/>
      <c r="GH219" s="79"/>
      <c r="GI219" s="79"/>
      <c r="GJ219" s="79"/>
      <c r="GK219" s="79"/>
      <c r="GL219" s="79"/>
      <c r="GM219" s="79"/>
      <c r="GN219" s="79"/>
      <c r="GO219" s="79"/>
      <c r="GP219" s="79"/>
      <c r="GQ219" s="79"/>
      <c r="GR219" s="79"/>
      <c r="GS219" s="79"/>
      <c r="GT219" s="79"/>
      <c r="GU219" s="79"/>
      <c r="GV219" s="79"/>
      <c r="GW219" s="79"/>
      <c r="GX219" s="79"/>
      <c r="GY219" s="79"/>
      <c r="GZ219" s="79"/>
      <c r="HA219" s="79"/>
      <c r="HB219" s="79"/>
      <c r="HC219" s="79"/>
      <c r="HD219" s="79"/>
      <c r="HE219" s="79"/>
      <c r="HF219" s="79"/>
      <c r="HG219" s="79"/>
      <c r="HH219" s="79"/>
      <c r="HI219" s="79"/>
      <c r="HJ219" s="79"/>
      <c r="HK219" s="79"/>
      <c r="HL219" s="79"/>
      <c r="HM219" s="79"/>
      <c r="HN219" s="79"/>
      <c r="HO219" s="79"/>
      <c r="HP219" s="79"/>
      <c r="HQ219" s="79"/>
      <c r="HR219" s="79"/>
      <c r="HS219" s="79"/>
      <c r="HT219" s="79"/>
      <c r="HU219" s="79"/>
      <c r="HV219" s="79"/>
      <c r="HW219" s="79"/>
      <c r="HX219" s="79"/>
      <c r="HY219" s="79"/>
      <c r="HZ219" s="79"/>
      <c r="IA219" s="79"/>
      <c r="IB219" s="79"/>
      <c r="IC219" s="79"/>
      <c r="ID219" s="79"/>
      <c r="IE219" s="79"/>
      <c r="IF219" s="79"/>
      <c r="IG219" s="79"/>
      <c r="IH219" s="79"/>
      <c r="II219" s="79"/>
      <c r="IJ219" s="79"/>
      <c r="IK219" s="79"/>
      <c r="IL219" s="79"/>
      <c r="IM219" s="79"/>
      <c r="IN219" s="79"/>
      <c r="IO219" s="79"/>
      <c r="IP219" s="79"/>
      <c r="IQ219" s="79"/>
    </row>
    <row r="220" spans="1:251" s="230" customFormat="1" ht="61.5" customHeight="1" x14ac:dyDescent="0.2">
      <c r="A220" s="212">
        <v>2</v>
      </c>
      <c r="B220" s="213" t="s">
        <v>96</v>
      </c>
      <c r="C220" s="212" t="s">
        <v>46</v>
      </c>
      <c r="D220" s="214">
        <v>318175</v>
      </c>
      <c r="E220" s="214"/>
      <c r="F220" s="229">
        <v>181.44</v>
      </c>
      <c r="G220" s="229"/>
      <c r="H220" s="229"/>
      <c r="I220" s="228">
        <f>D220*F220</f>
        <v>57729672</v>
      </c>
      <c r="J220" s="228"/>
      <c r="K220" s="228"/>
      <c r="L220" s="217"/>
      <c r="M220" s="217"/>
      <c r="N220" s="217"/>
      <c r="O220" s="217" t="s">
        <v>97</v>
      </c>
      <c r="P220" s="220"/>
      <c r="Q220" s="220"/>
      <c r="R220" s="79"/>
      <c r="S220" s="79"/>
      <c r="T220" s="79"/>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c r="BD220" s="79"/>
      <c r="BE220" s="79"/>
      <c r="BF220" s="79"/>
      <c r="BG220" s="79"/>
      <c r="BH220" s="79"/>
      <c r="BI220" s="79"/>
      <c r="BJ220" s="79"/>
      <c r="BK220" s="79"/>
      <c r="BL220" s="79"/>
      <c r="BM220" s="79"/>
      <c r="BN220" s="79"/>
      <c r="BO220" s="79"/>
      <c r="BP220" s="79"/>
      <c r="BQ220" s="79"/>
      <c r="BR220" s="79"/>
      <c r="BS220" s="79"/>
      <c r="BT220" s="79"/>
      <c r="BU220" s="79"/>
      <c r="BV220" s="79"/>
      <c r="BW220" s="79"/>
      <c r="BX220" s="79"/>
      <c r="BY220" s="79"/>
      <c r="BZ220" s="79"/>
      <c r="CA220" s="79"/>
      <c r="CB220" s="79"/>
      <c r="CC220" s="79"/>
      <c r="CD220" s="79"/>
      <c r="CE220" s="79"/>
      <c r="CF220" s="79"/>
      <c r="CG220" s="79"/>
      <c r="CH220" s="79"/>
      <c r="CI220" s="79"/>
      <c r="CJ220" s="79"/>
      <c r="CK220" s="79"/>
      <c r="CL220" s="79"/>
      <c r="CM220" s="79"/>
      <c r="CN220" s="79"/>
      <c r="CO220" s="79"/>
      <c r="CP220" s="79"/>
      <c r="CQ220" s="79"/>
      <c r="CR220" s="79"/>
      <c r="CS220" s="79"/>
      <c r="CT220" s="79"/>
      <c r="CU220" s="79"/>
      <c r="CV220" s="79"/>
      <c r="CW220" s="79"/>
      <c r="CX220" s="79"/>
      <c r="CY220" s="79"/>
      <c r="CZ220" s="79"/>
      <c r="DA220" s="79"/>
      <c r="DB220" s="79"/>
      <c r="DC220" s="79"/>
      <c r="DD220" s="79"/>
      <c r="DE220" s="79"/>
      <c r="DF220" s="79"/>
      <c r="DG220" s="79"/>
      <c r="DH220" s="79"/>
      <c r="DI220" s="79"/>
      <c r="DJ220" s="79"/>
      <c r="DK220" s="79"/>
      <c r="DL220" s="79"/>
      <c r="DM220" s="79"/>
      <c r="DN220" s="79"/>
      <c r="DO220" s="79"/>
      <c r="DP220" s="79"/>
      <c r="DQ220" s="79"/>
      <c r="DR220" s="79"/>
      <c r="DS220" s="79"/>
      <c r="DT220" s="79"/>
      <c r="DU220" s="79"/>
      <c r="DV220" s="79"/>
      <c r="DW220" s="79"/>
      <c r="DX220" s="79"/>
      <c r="DY220" s="79"/>
      <c r="DZ220" s="79"/>
      <c r="EA220" s="79"/>
      <c r="EB220" s="79"/>
      <c r="EC220" s="79"/>
      <c r="ED220" s="79"/>
      <c r="EE220" s="79"/>
      <c r="EF220" s="79"/>
      <c r="EG220" s="79"/>
      <c r="EH220" s="79"/>
      <c r="EI220" s="79"/>
      <c r="EJ220" s="79"/>
      <c r="EK220" s="79"/>
      <c r="EL220" s="79"/>
      <c r="EM220" s="79"/>
      <c r="EN220" s="79"/>
      <c r="EO220" s="79"/>
      <c r="EP220" s="79"/>
      <c r="EQ220" s="79"/>
      <c r="ER220" s="79"/>
      <c r="ES220" s="79"/>
      <c r="ET220" s="79"/>
      <c r="EU220" s="79"/>
      <c r="EV220" s="79"/>
      <c r="EW220" s="79"/>
      <c r="EX220" s="79"/>
      <c r="EY220" s="79"/>
      <c r="EZ220" s="79"/>
      <c r="FA220" s="79"/>
      <c r="FB220" s="79"/>
      <c r="FC220" s="79"/>
      <c r="FD220" s="79"/>
      <c r="FE220" s="79"/>
      <c r="FF220" s="79"/>
      <c r="FG220" s="79"/>
      <c r="FH220" s="79"/>
      <c r="FI220" s="79"/>
      <c r="FJ220" s="79"/>
      <c r="FK220" s="79"/>
      <c r="FL220" s="79"/>
      <c r="FM220" s="79"/>
      <c r="FN220" s="79"/>
      <c r="FO220" s="79"/>
      <c r="FP220" s="79"/>
      <c r="FQ220" s="79"/>
      <c r="FR220" s="79"/>
      <c r="FS220" s="79"/>
      <c r="FT220" s="79"/>
      <c r="FU220" s="79"/>
      <c r="FV220" s="79"/>
      <c r="FW220" s="79"/>
      <c r="FX220" s="79"/>
      <c r="FY220" s="79"/>
      <c r="FZ220" s="79"/>
      <c r="GA220" s="79"/>
      <c r="GB220" s="79"/>
      <c r="GC220" s="79"/>
      <c r="GD220" s="79"/>
      <c r="GE220" s="79"/>
      <c r="GF220" s="79"/>
      <c r="GG220" s="79"/>
      <c r="GH220" s="79"/>
      <c r="GI220" s="79"/>
      <c r="GJ220" s="79"/>
      <c r="GK220" s="79"/>
      <c r="GL220" s="79"/>
      <c r="GM220" s="79"/>
      <c r="GN220" s="79"/>
      <c r="GO220" s="79"/>
      <c r="GP220" s="79"/>
      <c r="GQ220" s="79"/>
      <c r="GR220" s="79"/>
      <c r="GS220" s="79"/>
      <c r="GT220" s="79"/>
      <c r="GU220" s="79"/>
      <c r="GV220" s="79"/>
      <c r="GW220" s="79"/>
      <c r="GX220" s="79"/>
      <c r="GY220" s="79"/>
      <c r="GZ220" s="79"/>
      <c r="HA220" s="79"/>
      <c r="HB220" s="79"/>
      <c r="HC220" s="79"/>
      <c r="HD220" s="79"/>
      <c r="HE220" s="79"/>
      <c r="HF220" s="79"/>
      <c r="HG220" s="79"/>
      <c r="HH220" s="79"/>
      <c r="HI220" s="79"/>
      <c r="HJ220" s="79"/>
      <c r="HK220" s="79"/>
      <c r="HL220" s="79"/>
      <c r="HM220" s="79"/>
      <c r="HN220" s="79"/>
      <c r="HO220" s="79"/>
      <c r="HP220" s="79"/>
      <c r="HQ220" s="79"/>
      <c r="HR220" s="79"/>
      <c r="HS220" s="79"/>
      <c r="HT220" s="79"/>
      <c r="HU220" s="79"/>
      <c r="HV220" s="79"/>
      <c r="HW220" s="79"/>
      <c r="HX220" s="79"/>
      <c r="HY220" s="79"/>
      <c r="HZ220" s="79"/>
      <c r="IA220" s="79"/>
      <c r="IB220" s="79"/>
      <c r="IC220" s="79"/>
      <c r="ID220" s="79"/>
      <c r="IE220" s="79"/>
      <c r="IF220" s="79"/>
      <c r="IG220" s="79"/>
      <c r="IH220" s="79"/>
      <c r="II220" s="79"/>
      <c r="IJ220" s="79"/>
      <c r="IK220" s="79"/>
      <c r="IL220" s="79"/>
      <c r="IM220" s="79"/>
      <c r="IN220" s="79"/>
      <c r="IO220" s="79"/>
      <c r="IP220" s="79"/>
      <c r="IQ220" s="79"/>
    </row>
    <row r="221" spans="1:251" ht="61.5" customHeight="1" x14ac:dyDescent="0.2">
      <c r="A221" s="13" t="s">
        <v>23</v>
      </c>
      <c r="B221" s="14" t="s">
        <v>146</v>
      </c>
      <c r="C221" s="13" t="s">
        <v>46</v>
      </c>
      <c r="D221" s="140"/>
      <c r="E221" s="140">
        <v>317900</v>
      </c>
      <c r="F221" s="144"/>
      <c r="G221" s="144">
        <f>F220</f>
        <v>181.44</v>
      </c>
      <c r="H221" s="144">
        <f>1.092*365</f>
        <v>398.58000000000004</v>
      </c>
      <c r="I221" s="126"/>
      <c r="J221" s="126">
        <f>E221*G221</f>
        <v>57679776</v>
      </c>
      <c r="K221" s="126">
        <f>E221*H221</f>
        <v>126708582.00000001</v>
      </c>
      <c r="L221" s="163"/>
      <c r="M221" s="195"/>
      <c r="N221" s="195"/>
      <c r="O221" s="145"/>
      <c r="P221" s="40"/>
      <c r="Q221" s="33"/>
      <c r="IO221" s="1"/>
      <c r="IP221" s="1"/>
      <c r="IQ221" s="1"/>
    </row>
    <row r="222" spans="1:251" ht="61.5" customHeight="1" x14ac:dyDescent="0.2">
      <c r="A222" s="13" t="s">
        <v>23</v>
      </c>
      <c r="B222" s="14" t="s">
        <v>147</v>
      </c>
      <c r="C222" s="13" t="s">
        <v>46</v>
      </c>
      <c r="D222" s="140"/>
      <c r="E222" s="140">
        <v>272100</v>
      </c>
      <c r="F222" s="144"/>
      <c r="G222" s="144">
        <f>G221</f>
        <v>181.44</v>
      </c>
      <c r="H222" s="144">
        <f>H221</f>
        <v>398.58000000000004</v>
      </c>
      <c r="I222" s="126"/>
      <c r="J222" s="126">
        <f>E222*G222</f>
        <v>49369824</v>
      </c>
      <c r="K222" s="126">
        <f>E222*H222</f>
        <v>108453618.00000001</v>
      </c>
      <c r="L222" s="163"/>
      <c r="M222" s="195"/>
      <c r="N222" s="195"/>
      <c r="O222" s="145"/>
      <c r="P222" s="40"/>
      <c r="Q222" s="33"/>
      <c r="IO222" s="1"/>
      <c r="IP222" s="1"/>
      <c r="IQ222" s="1"/>
    </row>
    <row r="223" spans="1:251" ht="34.5" customHeight="1" x14ac:dyDescent="0.2">
      <c r="A223" s="103" t="s">
        <v>119</v>
      </c>
      <c r="B223" s="112" t="s">
        <v>125</v>
      </c>
      <c r="C223" s="110"/>
      <c r="D223" s="154"/>
      <c r="E223" s="154"/>
      <c r="F223" s="111"/>
      <c r="G223" s="111"/>
      <c r="H223" s="111"/>
      <c r="I223" s="139">
        <f t="shared" ref="I223:K223" si="98">+ROUND((I224),-3)</f>
        <v>532879000</v>
      </c>
      <c r="J223" s="139">
        <f t="shared" si="98"/>
        <v>216648000</v>
      </c>
      <c r="K223" s="139">
        <f t="shared" si="98"/>
        <v>506503000</v>
      </c>
      <c r="L223" s="161"/>
      <c r="M223" s="196"/>
      <c r="N223" s="196"/>
      <c r="O223" s="145"/>
      <c r="P223" s="40"/>
      <c r="Q223" s="33"/>
      <c r="IO223" s="1"/>
      <c r="IP223" s="1"/>
      <c r="IQ223" s="1"/>
    </row>
    <row r="224" spans="1:251" ht="34.5" customHeight="1" x14ac:dyDescent="0.2">
      <c r="A224" s="103" t="s">
        <v>120</v>
      </c>
      <c r="B224" s="112" t="s">
        <v>4</v>
      </c>
      <c r="C224" s="110"/>
      <c r="D224" s="154"/>
      <c r="E224" s="154"/>
      <c r="F224" s="111"/>
      <c r="G224" s="111"/>
      <c r="H224" s="111"/>
      <c r="I224" s="139">
        <f t="shared" ref="I224:K224" si="99">+I225</f>
        <v>532879336.80000001</v>
      </c>
      <c r="J224" s="139">
        <f t="shared" si="99"/>
        <v>216648000</v>
      </c>
      <c r="K224" s="139">
        <f t="shared" si="99"/>
        <v>506503199.99999988</v>
      </c>
      <c r="L224" s="161"/>
      <c r="M224" s="196"/>
      <c r="N224" s="196"/>
      <c r="O224" s="145"/>
      <c r="P224" s="40"/>
      <c r="Q224" s="33"/>
      <c r="IO224" s="1"/>
      <c r="IP224" s="1"/>
      <c r="IQ224" s="1"/>
    </row>
    <row r="225" spans="1:251" s="2" customFormat="1" ht="25.5" customHeight="1" x14ac:dyDescent="0.2">
      <c r="A225" s="53" t="s">
        <v>38</v>
      </c>
      <c r="B225" s="60" t="s">
        <v>87</v>
      </c>
      <c r="C225" s="54"/>
      <c r="D225" s="102"/>
      <c r="E225" s="102"/>
      <c r="F225" s="142"/>
      <c r="G225" s="142"/>
      <c r="H225" s="142"/>
      <c r="I225" s="142">
        <f>SUM(I226:I229)</f>
        <v>532879336.80000001</v>
      </c>
      <c r="J225" s="142">
        <f>SUM(J226:J229)</f>
        <v>216648000</v>
      </c>
      <c r="K225" s="142">
        <f>SUM(K226:K229)</f>
        <v>506503199.99999988</v>
      </c>
      <c r="L225" s="162"/>
      <c r="M225" s="192"/>
      <c r="N225" s="192"/>
      <c r="O225" s="65"/>
    </row>
    <row r="226" spans="1:251" s="230" customFormat="1" ht="30" customHeight="1" x14ac:dyDescent="0.2">
      <c r="A226" s="212">
        <v>1</v>
      </c>
      <c r="B226" s="213" t="s">
        <v>92</v>
      </c>
      <c r="C226" s="212" t="s">
        <v>41</v>
      </c>
      <c r="D226" s="229">
        <v>1018000</v>
      </c>
      <c r="E226" s="229"/>
      <c r="F226" s="229">
        <v>435.6</v>
      </c>
      <c r="G226" s="229"/>
      <c r="H226" s="229"/>
      <c r="I226" s="228">
        <f>D226*F226</f>
        <v>443440800</v>
      </c>
      <c r="J226" s="228"/>
      <c r="K226" s="228"/>
      <c r="L226" s="217"/>
      <c r="M226" s="217"/>
      <c r="N226" s="217"/>
      <c r="O226" s="217" t="s">
        <v>93</v>
      </c>
      <c r="P226" s="220"/>
      <c r="Q226" s="220"/>
      <c r="R226" s="79"/>
      <c r="S226" s="79"/>
      <c r="T226" s="79"/>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c r="BS226" s="79"/>
      <c r="BT226" s="79"/>
      <c r="BU226" s="79"/>
      <c r="BV226" s="79"/>
      <c r="BW226" s="79"/>
      <c r="BX226" s="79"/>
      <c r="BY226" s="79"/>
      <c r="BZ226" s="79"/>
      <c r="CA226" s="79"/>
      <c r="CB226" s="79"/>
      <c r="CC226" s="79"/>
      <c r="CD226" s="79"/>
      <c r="CE226" s="79"/>
      <c r="CF226" s="79"/>
      <c r="CG226" s="79"/>
      <c r="CH226" s="79"/>
      <c r="CI226" s="79"/>
      <c r="CJ226" s="79"/>
      <c r="CK226" s="79"/>
      <c r="CL226" s="79"/>
      <c r="CM226" s="79"/>
      <c r="CN226" s="79"/>
      <c r="CO226" s="79"/>
      <c r="CP226" s="79"/>
      <c r="CQ226" s="79"/>
      <c r="CR226" s="79"/>
      <c r="CS226" s="79"/>
      <c r="CT226" s="79"/>
      <c r="CU226" s="79"/>
      <c r="CV226" s="79"/>
      <c r="CW226" s="79"/>
      <c r="CX226" s="79"/>
      <c r="CY226" s="79"/>
      <c r="CZ226" s="79"/>
      <c r="DA226" s="79"/>
      <c r="DB226" s="79"/>
      <c r="DC226" s="79"/>
      <c r="DD226" s="79"/>
      <c r="DE226" s="79"/>
      <c r="DF226" s="79"/>
      <c r="DG226" s="79"/>
      <c r="DH226" s="79"/>
      <c r="DI226" s="79"/>
      <c r="DJ226" s="79"/>
      <c r="DK226" s="79"/>
      <c r="DL226" s="79"/>
      <c r="DM226" s="79"/>
      <c r="DN226" s="79"/>
      <c r="DO226" s="79"/>
      <c r="DP226" s="79"/>
      <c r="DQ226" s="79"/>
      <c r="DR226" s="79"/>
      <c r="DS226" s="79"/>
      <c r="DT226" s="79"/>
      <c r="DU226" s="79"/>
      <c r="DV226" s="79"/>
      <c r="DW226" s="79"/>
      <c r="DX226" s="79"/>
      <c r="DY226" s="79"/>
      <c r="DZ226" s="79"/>
      <c r="EA226" s="79"/>
      <c r="EB226" s="79"/>
      <c r="EC226" s="79"/>
      <c r="ED226" s="79"/>
      <c r="EE226" s="79"/>
      <c r="EF226" s="79"/>
      <c r="EG226" s="79"/>
      <c r="EH226" s="79"/>
      <c r="EI226" s="79"/>
      <c r="EJ226" s="79"/>
      <c r="EK226" s="79"/>
      <c r="EL226" s="79"/>
      <c r="EM226" s="79"/>
      <c r="EN226" s="79"/>
      <c r="EO226" s="79"/>
      <c r="EP226" s="79"/>
      <c r="EQ226" s="79"/>
      <c r="ER226" s="79"/>
      <c r="ES226" s="79"/>
      <c r="ET226" s="79"/>
      <c r="EU226" s="79"/>
      <c r="EV226" s="79"/>
      <c r="EW226" s="79"/>
      <c r="EX226" s="79"/>
      <c r="EY226" s="79"/>
      <c r="EZ226" s="79"/>
      <c r="FA226" s="79"/>
      <c r="FB226" s="79"/>
      <c r="FC226" s="79"/>
      <c r="FD226" s="79"/>
      <c r="FE226" s="79"/>
      <c r="FF226" s="79"/>
      <c r="FG226" s="79"/>
      <c r="FH226" s="79"/>
      <c r="FI226" s="79"/>
      <c r="FJ226" s="79"/>
      <c r="FK226" s="79"/>
      <c r="FL226" s="79"/>
      <c r="FM226" s="79"/>
      <c r="FN226" s="79"/>
      <c r="FO226" s="79"/>
      <c r="FP226" s="79"/>
      <c r="FQ226" s="79"/>
      <c r="FR226" s="79"/>
      <c r="FS226" s="79"/>
      <c r="FT226" s="79"/>
      <c r="FU226" s="79"/>
      <c r="FV226" s="79"/>
      <c r="FW226" s="79"/>
      <c r="FX226" s="79"/>
      <c r="FY226" s="79"/>
      <c r="FZ226" s="79"/>
      <c r="GA226" s="79"/>
      <c r="GB226" s="79"/>
      <c r="GC226" s="79"/>
      <c r="GD226" s="79"/>
      <c r="GE226" s="79"/>
      <c r="GF226" s="79"/>
      <c r="GG226" s="79"/>
      <c r="GH226" s="79"/>
      <c r="GI226" s="79"/>
      <c r="GJ226" s="79"/>
      <c r="GK226" s="79"/>
      <c r="GL226" s="79"/>
      <c r="GM226" s="79"/>
      <c r="GN226" s="79"/>
      <c r="GO226" s="79"/>
      <c r="GP226" s="79"/>
      <c r="GQ226" s="79"/>
      <c r="GR226" s="79"/>
      <c r="GS226" s="79"/>
      <c r="GT226" s="79"/>
      <c r="GU226" s="79"/>
      <c r="GV226" s="79"/>
      <c r="GW226" s="79"/>
      <c r="GX226" s="79"/>
      <c r="GY226" s="79"/>
      <c r="GZ226" s="79"/>
      <c r="HA226" s="79"/>
      <c r="HB226" s="79"/>
      <c r="HC226" s="79"/>
      <c r="HD226" s="79"/>
      <c r="HE226" s="79"/>
      <c r="HF226" s="79"/>
      <c r="HG226" s="79"/>
      <c r="HH226" s="79"/>
      <c r="HI226" s="79"/>
      <c r="HJ226" s="79"/>
      <c r="HK226" s="79"/>
      <c r="HL226" s="79"/>
      <c r="HM226" s="79"/>
      <c r="HN226" s="79"/>
      <c r="HO226" s="79"/>
      <c r="HP226" s="79"/>
      <c r="HQ226" s="79"/>
      <c r="HR226" s="79"/>
      <c r="HS226" s="79"/>
      <c r="HT226" s="79"/>
      <c r="HU226" s="79"/>
      <c r="HV226" s="79"/>
      <c r="HW226" s="79"/>
      <c r="HX226" s="79"/>
      <c r="HY226" s="79"/>
      <c r="HZ226" s="79"/>
      <c r="IA226" s="79"/>
      <c r="IB226" s="79"/>
      <c r="IC226" s="79"/>
      <c r="ID226" s="79"/>
      <c r="IE226" s="79"/>
      <c r="IF226" s="79"/>
      <c r="IG226" s="79"/>
      <c r="IH226" s="79"/>
      <c r="II226" s="79"/>
      <c r="IJ226" s="79"/>
      <c r="IK226" s="79"/>
      <c r="IL226" s="79"/>
      <c r="IM226" s="79"/>
      <c r="IN226" s="79"/>
      <c r="IO226" s="79"/>
      <c r="IP226" s="79"/>
      <c r="IQ226" s="79"/>
    </row>
    <row r="227" spans="1:251" s="79" customFormat="1" ht="57" customHeight="1" x14ac:dyDescent="0.2">
      <c r="A227" s="212">
        <v>2</v>
      </c>
      <c r="B227" s="213" t="s">
        <v>94</v>
      </c>
      <c r="C227" s="212" t="s">
        <v>46</v>
      </c>
      <c r="D227" s="214">
        <v>243569</v>
      </c>
      <c r="E227" s="214"/>
      <c r="F227" s="229">
        <v>367.2</v>
      </c>
      <c r="G227" s="229"/>
      <c r="H227" s="229"/>
      <c r="I227" s="228">
        <f>D227*F227</f>
        <v>89438536.799999997</v>
      </c>
      <c r="J227" s="228"/>
      <c r="K227" s="228"/>
      <c r="L227" s="217"/>
      <c r="M227" s="217"/>
      <c r="N227" s="217"/>
      <c r="O227" s="217" t="s">
        <v>95</v>
      </c>
      <c r="P227" s="220"/>
      <c r="Q227" s="220"/>
    </row>
    <row r="228" spans="1:251" s="23" customFormat="1" ht="57" customHeight="1" x14ac:dyDescent="0.2">
      <c r="A228" s="13" t="s">
        <v>23</v>
      </c>
      <c r="B228" s="14" t="s">
        <v>146</v>
      </c>
      <c r="C228" s="13" t="s">
        <v>46</v>
      </c>
      <c r="D228" s="140"/>
      <c r="E228" s="140">
        <v>317900</v>
      </c>
      <c r="F228" s="146"/>
      <c r="G228" s="146">
        <f>F227</f>
        <v>367.2</v>
      </c>
      <c r="H228" s="144">
        <f>2.352*365</f>
        <v>858.4799999999999</v>
      </c>
      <c r="I228" s="129"/>
      <c r="J228" s="129">
        <f>E228*G228</f>
        <v>116732880</v>
      </c>
      <c r="K228" s="129">
        <f>E228*H228</f>
        <v>272910791.99999994</v>
      </c>
      <c r="L228" s="163"/>
      <c r="M228" s="195"/>
      <c r="N228" s="195"/>
      <c r="O228" s="211"/>
      <c r="P228" s="43"/>
      <c r="Q228" s="43"/>
    </row>
    <row r="229" spans="1:251" s="23" customFormat="1" ht="57" customHeight="1" x14ac:dyDescent="0.2">
      <c r="A229" s="13" t="s">
        <v>23</v>
      </c>
      <c r="B229" s="14" t="s">
        <v>147</v>
      </c>
      <c r="C229" s="13" t="s">
        <v>46</v>
      </c>
      <c r="D229" s="140"/>
      <c r="E229" s="140">
        <v>272100</v>
      </c>
      <c r="F229" s="146"/>
      <c r="G229" s="146">
        <f>G228</f>
        <v>367.2</v>
      </c>
      <c r="H229" s="146">
        <f>H228</f>
        <v>858.4799999999999</v>
      </c>
      <c r="I229" s="129"/>
      <c r="J229" s="129">
        <f>E229*G229</f>
        <v>99915120</v>
      </c>
      <c r="K229" s="129">
        <f>E229*H229</f>
        <v>233592407.99999997</v>
      </c>
      <c r="L229" s="163"/>
      <c r="M229" s="195"/>
      <c r="N229" s="195"/>
      <c r="O229" s="211"/>
      <c r="P229" s="43"/>
      <c r="Q229" s="43"/>
    </row>
    <row r="230" spans="1:251" s="2" customFormat="1" ht="30.75" customHeight="1" x14ac:dyDescent="0.2">
      <c r="A230" s="69" t="s">
        <v>19</v>
      </c>
      <c r="B230" s="70" t="s">
        <v>62</v>
      </c>
      <c r="C230" s="71"/>
      <c r="D230" s="20"/>
      <c r="E230" s="20"/>
      <c r="F230" s="71"/>
      <c r="G230" s="71"/>
      <c r="H230" s="71"/>
      <c r="I230" s="138">
        <f t="shared" ref="I230:J230" si="100">+I231+I232+I233</f>
        <v>9115591000</v>
      </c>
      <c r="J230" s="138">
        <f t="shared" si="100"/>
        <v>5864113000</v>
      </c>
      <c r="K230" s="138" t="e">
        <f t="shared" ref="K230" si="101">+K231+K232+K233</f>
        <v>#REF!</v>
      </c>
      <c r="L230" s="167"/>
      <c r="M230" s="199"/>
      <c r="N230" s="199"/>
      <c r="O230" s="177" t="e">
        <f>+#REF!+I230</f>
        <v>#REF!</v>
      </c>
      <c r="P230" s="184"/>
      <c r="Q230" s="184"/>
      <c r="R230" s="184"/>
      <c r="S230" s="184"/>
      <c r="T230" s="184"/>
      <c r="U230" s="184"/>
      <c r="V230" s="184"/>
      <c r="W230" s="184"/>
    </row>
    <row r="231" spans="1:251" s="1" customFormat="1" ht="30.75" customHeight="1" x14ac:dyDescent="0.2">
      <c r="A231" s="147" t="s">
        <v>38</v>
      </c>
      <c r="B231" s="22" t="s">
        <v>121</v>
      </c>
      <c r="C231" s="21"/>
      <c r="D231" s="21"/>
      <c r="E231" s="21"/>
      <c r="F231" s="21"/>
      <c r="G231" s="21"/>
      <c r="H231" s="21"/>
      <c r="I231" s="140">
        <f t="shared" ref="I231:J231" si="102">+I112</f>
        <v>6208707000</v>
      </c>
      <c r="J231" s="140">
        <f t="shared" si="102"/>
        <v>4094209000</v>
      </c>
      <c r="K231" s="140" t="e">
        <f t="shared" ref="K231" si="103">+K112</f>
        <v>#REF!</v>
      </c>
      <c r="L231" s="168"/>
      <c r="M231" s="200"/>
      <c r="N231" s="200"/>
      <c r="O231" s="1">
        <v>18231182000</v>
      </c>
    </row>
    <row r="232" spans="1:251" s="1" customFormat="1" ht="30.75" customHeight="1" x14ac:dyDescent="0.2">
      <c r="A232" s="147" t="s">
        <v>51</v>
      </c>
      <c r="B232" s="22" t="s">
        <v>103</v>
      </c>
      <c r="C232" s="21"/>
      <c r="D232" s="21"/>
      <c r="E232" s="21"/>
      <c r="F232" s="21"/>
      <c r="G232" s="21"/>
      <c r="H232" s="21"/>
      <c r="I232" s="140">
        <f t="shared" ref="I232:J232" si="104">+I181</f>
        <v>2374005000</v>
      </c>
      <c r="J232" s="140">
        <f t="shared" si="104"/>
        <v>1553256000</v>
      </c>
      <c r="K232" s="140">
        <f t="shared" ref="K232" si="105">+K181</f>
        <v>2384303000</v>
      </c>
      <c r="L232" s="168"/>
      <c r="M232" s="200"/>
      <c r="N232" s="200"/>
    </row>
    <row r="233" spans="1:251" s="1" customFormat="1" ht="30.75" customHeight="1" x14ac:dyDescent="0.2">
      <c r="A233" s="147" t="s">
        <v>57</v>
      </c>
      <c r="B233" s="22" t="s">
        <v>122</v>
      </c>
      <c r="C233" s="21"/>
      <c r="D233" s="21"/>
      <c r="E233" s="21"/>
      <c r="F233" s="21"/>
      <c r="G233" s="21"/>
      <c r="H233" s="21"/>
      <c r="I233" s="140">
        <f t="shared" ref="I233:J233" si="106">+I223</f>
        <v>532879000</v>
      </c>
      <c r="J233" s="140">
        <f t="shared" si="106"/>
        <v>216648000</v>
      </c>
      <c r="K233" s="140">
        <f t="shared" ref="K233" si="107">+K223</f>
        <v>506503000</v>
      </c>
      <c r="L233" s="168"/>
      <c r="M233" s="200"/>
      <c r="N233" s="200"/>
    </row>
    <row r="234" spans="1:251" s="2" customFormat="1" ht="27" customHeight="1" x14ac:dyDescent="0.2">
      <c r="A234" s="69" t="s">
        <v>38</v>
      </c>
      <c r="B234" s="70" t="s">
        <v>63</v>
      </c>
      <c r="C234" s="71"/>
      <c r="D234" s="20"/>
      <c r="E234" s="20"/>
      <c r="F234" s="71"/>
      <c r="G234" s="71"/>
      <c r="H234" s="71"/>
      <c r="I234" s="149">
        <f t="shared" ref="I234:J234" si="108">+I235+I236+I237</f>
        <v>258312000</v>
      </c>
      <c r="J234" s="149">
        <f t="shared" si="108"/>
        <v>206142000</v>
      </c>
      <c r="K234" s="149">
        <f t="shared" ref="K234" si="109">+K235+K236+K237</f>
        <v>206142000</v>
      </c>
      <c r="L234" s="169"/>
      <c r="M234" s="201"/>
      <c r="N234" s="201"/>
      <c r="O234" s="184"/>
      <c r="P234" s="184"/>
      <c r="Q234" s="184"/>
      <c r="R234" s="184"/>
      <c r="S234" s="184"/>
      <c r="T234" s="184"/>
      <c r="U234" s="184"/>
      <c r="V234" s="184"/>
      <c r="W234" s="184"/>
    </row>
    <row r="235" spans="1:251" s="1" customFormat="1" ht="30.75" customHeight="1" x14ac:dyDescent="0.2">
      <c r="A235" s="147">
        <v>1</v>
      </c>
      <c r="B235" s="22" t="s">
        <v>121</v>
      </c>
      <c r="C235" s="21"/>
      <c r="D235" s="21"/>
      <c r="E235" s="21"/>
      <c r="F235" s="21"/>
      <c r="G235" s="21"/>
      <c r="H235" s="21"/>
      <c r="I235" s="140">
        <f>+I9</f>
        <v>147048000</v>
      </c>
      <c r="J235" s="140">
        <f>+J9</f>
        <v>136002000</v>
      </c>
      <c r="K235" s="140">
        <f>+K9</f>
        <v>136002000</v>
      </c>
      <c r="L235" s="168"/>
      <c r="M235" s="200"/>
      <c r="N235" s="200"/>
    </row>
    <row r="236" spans="1:251" s="1" customFormat="1" ht="30.75" customHeight="1" x14ac:dyDescent="0.2">
      <c r="A236" s="147">
        <v>2</v>
      </c>
      <c r="B236" s="22" t="s">
        <v>103</v>
      </c>
      <c r="C236" s="21"/>
      <c r="D236" s="21"/>
      <c r="E236" s="21"/>
      <c r="F236" s="21"/>
      <c r="G236" s="21"/>
      <c r="H236" s="21"/>
      <c r="I236" s="140">
        <f>+I47</f>
        <v>78624000</v>
      </c>
      <c r="J236" s="140">
        <f>+J47</f>
        <v>49200000</v>
      </c>
      <c r="K236" s="140">
        <f>+K47</f>
        <v>49200000</v>
      </c>
      <c r="L236" s="168"/>
      <c r="M236" s="200"/>
      <c r="N236" s="200"/>
    </row>
    <row r="237" spans="1:251" s="1" customFormat="1" ht="30.75" customHeight="1" x14ac:dyDescent="0.2">
      <c r="A237" s="147">
        <v>3</v>
      </c>
      <c r="B237" s="22" t="s">
        <v>126</v>
      </c>
      <c r="C237" s="21"/>
      <c r="D237" s="21"/>
      <c r="E237" s="21"/>
      <c r="F237" s="21"/>
      <c r="G237" s="21"/>
      <c r="H237" s="21"/>
      <c r="I237" s="140">
        <f t="shared" ref="I237:J237" si="110">+I101</f>
        <v>32640000</v>
      </c>
      <c r="J237" s="140">
        <f t="shared" si="110"/>
        <v>20940000</v>
      </c>
      <c r="K237" s="140">
        <f t="shared" ref="K237" si="111">+K101</f>
        <v>20940000</v>
      </c>
      <c r="L237" s="168"/>
      <c r="M237" s="200"/>
      <c r="N237" s="200"/>
    </row>
    <row r="238" spans="1:251" s="2" customFormat="1" ht="24.75" customHeight="1" x14ac:dyDescent="0.2">
      <c r="A238" s="69" t="s">
        <v>51</v>
      </c>
      <c r="B238" s="70" t="s">
        <v>64</v>
      </c>
      <c r="C238" s="71"/>
      <c r="D238" s="37"/>
      <c r="E238" s="37"/>
      <c r="F238" s="96"/>
      <c r="G238" s="96"/>
      <c r="H238" s="96"/>
      <c r="I238" s="149">
        <f t="shared" ref="I238:J238" si="112">+I241+I242+I243</f>
        <v>8857279000</v>
      </c>
      <c r="J238" s="149">
        <f t="shared" si="112"/>
        <v>5657971000</v>
      </c>
      <c r="K238" s="149" t="e">
        <f t="shared" ref="K238" si="113">+K241+K242+K243</f>
        <v>#REF!</v>
      </c>
      <c r="L238" s="167"/>
      <c r="M238" s="199"/>
      <c r="N238" s="199"/>
      <c r="O238" s="184"/>
      <c r="P238" s="184"/>
      <c r="Q238" s="184"/>
      <c r="R238" s="184"/>
      <c r="S238" s="184"/>
      <c r="T238" s="184"/>
      <c r="U238" s="184"/>
      <c r="V238" s="184"/>
      <c r="W238" s="184"/>
    </row>
    <row r="239" spans="1:251" s="1" customFormat="1" ht="24.75" customHeight="1" x14ac:dyDescent="0.2">
      <c r="A239" s="72"/>
      <c r="B239" s="73" t="s">
        <v>65</v>
      </c>
      <c r="C239" s="74"/>
      <c r="D239" s="38"/>
      <c r="E239" s="38"/>
      <c r="F239" s="97"/>
      <c r="G239" s="97"/>
      <c r="H239" s="97"/>
      <c r="I239" s="150"/>
      <c r="J239" s="150"/>
      <c r="K239" s="150"/>
      <c r="L239" s="170"/>
      <c r="M239" s="202"/>
      <c r="N239" s="202"/>
      <c r="O239" s="80"/>
      <c r="P239" s="80"/>
      <c r="Q239" s="80"/>
      <c r="R239" s="80"/>
      <c r="S239" s="80"/>
      <c r="T239" s="80"/>
      <c r="U239" s="80"/>
      <c r="V239" s="80"/>
      <c r="W239" s="80"/>
    </row>
    <row r="240" spans="1:251" s="1" customFormat="1" ht="24.75" customHeight="1" x14ac:dyDescent="0.2">
      <c r="A240" s="72"/>
      <c r="B240" s="75" t="s">
        <v>66</v>
      </c>
      <c r="C240" s="74"/>
      <c r="D240" s="38"/>
      <c r="E240" s="38"/>
      <c r="F240" s="97"/>
      <c r="G240" s="97"/>
      <c r="H240" s="97"/>
      <c r="I240" s="151"/>
      <c r="J240" s="151"/>
      <c r="K240" s="151"/>
      <c r="L240" s="170"/>
      <c r="M240" s="202"/>
      <c r="N240" s="202"/>
      <c r="O240" s="80"/>
      <c r="P240" s="80"/>
      <c r="Q240" s="80"/>
      <c r="R240" s="80"/>
      <c r="S240" s="80"/>
      <c r="T240" s="80"/>
      <c r="U240" s="80"/>
      <c r="V240" s="80"/>
      <c r="W240" s="80"/>
    </row>
    <row r="241" spans="1:268" s="1" customFormat="1" ht="24.75" customHeight="1" x14ac:dyDescent="0.2">
      <c r="A241" s="147">
        <v>1</v>
      </c>
      <c r="B241" s="22" t="s">
        <v>121</v>
      </c>
      <c r="C241" s="21"/>
      <c r="D241" s="21"/>
      <c r="E241" s="21"/>
      <c r="F241" s="21"/>
      <c r="G241" s="21"/>
      <c r="H241" s="21"/>
      <c r="I241" s="140">
        <f t="shared" ref="I241:J243" si="114">+I231-I235</f>
        <v>6061659000</v>
      </c>
      <c r="J241" s="140">
        <f t="shared" si="114"/>
        <v>3958207000</v>
      </c>
      <c r="K241" s="140" t="e">
        <f t="shared" ref="K241" si="115">+K231-K235</f>
        <v>#REF!</v>
      </c>
      <c r="L241" s="168"/>
      <c r="M241" s="200"/>
      <c r="N241" s="200"/>
      <c r="O241" s="1" t="e">
        <f>+#REF!*0.4</f>
        <v>#REF!</v>
      </c>
    </row>
    <row r="242" spans="1:268" s="1" customFormat="1" ht="24.75" customHeight="1" x14ac:dyDescent="0.2">
      <c r="A242" s="147">
        <v>2</v>
      </c>
      <c r="B242" s="22" t="s">
        <v>103</v>
      </c>
      <c r="C242" s="21"/>
      <c r="D242" s="21"/>
      <c r="E242" s="21"/>
      <c r="F242" s="21"/>
      <c r="G242" s="21"/>
      <c r="H242" s="21"/>
      <c r="I242" s="140">
        <f t="shared" si="114"/>
        <v>2295381000</v>
      </c>
      <c r="J242" s="140">
        <f t="shared" si="114"/>
        <v>1504056000</v>
      </c>
      <c r="K242" s="140">
        <f t="shared" ref="K242" si="116">+K232-K236</f>
        <v>2335103000</v>
      </c>
      <c r="L242" s="168"/>
      <c r="M242" s="200"/>
      <c r="N242" s="200"/>
      <c r="O242" s="1" t="e">
        <f>+#REF!*0.4</f>
        <v>#REF!</v>
      </c>
    </row>
    <row r="243" spans="1:268" s="1" customFormat="1" ht="24.75" customHeight="1" x14ac:dyDescent="0.2">
      <c r="A243" s="147">
        <v>3</v>
      </c>
      <c r="B243" s="22" t="s">
        <v>126</v>
      </c>
      <c r="C243" s="21"/>
      <c r="D243" s="21"/>
      <c r="E243" s="21"/>
      <c r="F243" s="21"/>
      <c r="G243" s="21"/>
      <c r="H243" s="21"/>
      <c r="I243" s="140">
        <f t="shared" si="114"/>
        <v>500239000</v>
      </c>
      <c r="J243" s="140">
        <f t="shared" si="114"/>
        <v>195708000</v>
      </c>
      <c r="K243" s="140">
        <f t="shared" ref="K243" si="117">+K233-K237</f>
        <v>485563000</v>
      </c>
      <c r="L243" s="168"/>
      <c r="M243" s="200"/>
      <c r="N243" s="200"/>
    </row>
    <row r="244" spans="1:268" s="1" customFormat="1" ht="24.75" customHeight="1" x14ac:dyDescent="0.2">
      <c r="A244" s="76"/>
      <c r="B244" s="77" t="s">
        <v>67</v>
      </c>
      <c r="C244" s="78"/>
      <c r="D244" s="39"/>
      <c r="E244" s="39"/>
      <c r="F244" s="98"/>
      <c r="G244" s="98"/>
      <c r="H244" s="98"/>
      <c r="I244" s="99"/>
      <c r="J244" s="99"/>
      <c r="K244" s="99"/>
      <c r="L244" s="171"/>
      <c r="M244" s="202"/>
      <c r="N244" s="202"/>
      <c r="O244" s="80"/>
      <c r="P244" s="80"/>
      <c r="Q244" s="80"/>
      <c r="R244" s="80"/>
      <c r="S244" s="80"/>
      <c r="T244" s="80"/>
      <c r="U244" s="80"/>
      <c r="V244" s="80"/>
      <c r="W244" s="80"/>
    </row>
    <row r="245" spans="1:268" s="1" customFormat="1" ht="15.75" customHeight="1" x14ac:dyDescent="0.2">
      <c r="A245" s="174"/>
      <c r="B245" s="174"/>
      <c r="C245" s="174"/>
      <c r="D245" s="174"/>
      <c r="E245" s="174"/>
      <c r="F245" s="175"/>
      <c r="G245" s="175"/>
      <c r="H245" s="175"/>
      <c r="I245" s="175"/>
      <c r="J245" s="175"/>
      <c r="K245" s="175"/>
      <c r="L245" s="174"/>
      <c r="IO245"/>
      <c r="IP245"/>
      <c r="IQ245"/>
      <c r="IR245"/>
      <c r="IS245"/>
      <c r="IT245"/>
      <c r="IU245"/>
      <c r="IV245"/>
      <c r="IW245"/>
      <c r="IX245"/>
      <c r="IY245"/>
      <c r="IZ245"/>
      <c r="JA245"/>
      <c r="JB245"/>
      <c r="JC245"/>
      <c r="JD245"/>
      <c r="JE245"/>
      <c r="JF245"/>
      <c r="JG245"/>
      <c r="JH245"/>
    </row>
    <row r="246" spans="1:268" s="2" customFormat="1" ht="15.75" customHeight="1" x14ac:dyDescent="0.2">
      <c r="B246" s="172" t="s">
        <v>128</v>
      </c>
      <c r="D246" s="362" t="s">
        <v>128</v>
      </c>
      <c r="E246" s="362"/>
      <c r="F246" s="362"/>
      <c r="G246" s="362"/>
      <c r="H246" s="362"/>
      <c r="I246" s="362"/>
      <c r="J246" s="362"/>
      <c r="K246" s="362"/>
      <c r="L246" s="362"/>
      <c r="M246" s="179"/>
      <c r="N246" s="179"/>
    </row>
    <row r="247" spans="1:268" s="2" customFormat="1" ht="15.75" customHeight="1" x14ac:dyDescent="0.2">
      <c r="B247" s="172" t="s">
        <v>129</v>
      </c>
      <c r="D247" s="2" t="s">
        <v>132</v>
      </c>
      <c r="F247" s="181"/>
      <c r="G247" s="181"/>
      <c r="H247" s="181"/>
      <c r="I247" s="363" t="s">
        <v>135</v>
      </c>
      <c r="J247" s="363"/>
      <c r="K247" s="363"/>
      <c r="L247" s="363"/>
      <c r="M247" s="181"/>
      <c r="N247" s="181"/>
    </row>
    <row r="248" spans="1:268" s="2" customFormat="1" ht="15.75" customHeight="1" x14ac:dyDescent="0.2">
      <c r="B248" s="172" t="s">
        <v>130</v>
      </c>
      <c r="D248" s="2" t="s">
        <v>134</v>
      </c>
      <c r="I248" s="364" t="s">
        <v>134</v>
      </c>
      <c r="J248" s="364"/>
      <c r="K248" s="364"/>
      <c r="L248" s="364"/>
    </row>
    <row r="249" spans="1:268" s="2" customFormat="1" ht="15.75" customHeight="1" x14ac:dyDescent="0.2">
      <c r="B249" s="172"/>
    </row>
    <row r="250" spans="1:268" s="2" customFormat="1" ht="15.75" customHeight="1" x14ac:dyDescent="0.2">
      <c r="B250" s="172"/>
    </row>
    <row r="251" spans="1:268" s="2" customFormat="1" ht="15.75" customHeight="1" x14ac:dyDescent="0.2">
      <c r="B251" s="172"/>
    </row>
    <row r="252" spans="1:268" s="2" customFormat="1" ht="15.75" customHeight="1" x14ac:dyDescent="0.2">
      <c r="B252" s="172"/>
    </row>
    <row r="253" spans="1:268" s="2" customFormat="1" ht="15.75" customHeight="1" x14ac:dyDescent="0.2">
      <c r="B253" s="172"/>
    </row>
    <row r="254" spans="1:268" s="180" customFormat="1" ht="15.75" customHeight="1" x14ac:dyDescent="0.2">
      <c r="B254" s="173" t="s">
        <v>131</v>
      </c>
      <c r="D254" s="180" t="s">
        <v>133</v>
      </c>
      <c r="I254" s="365" t="s">
        <v>136</v>
      </c>
      <c r="J254" s="365"/>
      <c r="K254" s="365"/>
      <c r="L254" s="365"/>
    </row>
    <row r="255" spans="1:268" s="1" customFormat="1" ht="15.75" customHeight="1" x14ac:dyDescent="0.2">
      <c r="F255" s="24"/>
      <c r="G255" s="24"/>
      <c r="H255" s="24"/>
      <c r="I255" s="24"/>
      <c r="J255" s="24"/>
      <c r="K255" s="24"/>
    </row>
  </sheetData>
  <mergeCells count="13">
    <mergeCell ref="I254:L254"/>
    <mergeCell ref="F4:H5"/>
    <mergeCell ref="I4:K5"/>
    <mergeCell ref="D4:E5"/>
    <mergeCell ref="D246:L246"/>
    <mergeCell ref="I247:L247"/>
    <mergeCell ref="I248:L248"/>
    <mergeCell ref="L4:L6"/>
    <mergeCell ref="A1:L1"/>
    <mergeCell ref="A2:L2"/>
    <mergeCell ref="A4:A6"/>
    <mergeCell ref="B4:B6"/>
    <mergeCell ref="C4:C6"/>
  </mergeCells>
  <printOptions horizontalCentered="1"/>
  <pageMargins left="0.25" right="0.25" top="0.5" bottom="0.25" header="0.5" footer="0.25"/>
  <pageSetup paperSize="9" scale="7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 nguon</vt:lpstr>
      <vt:lpstr>01- Thị trấn Lăng Can</vt:lpstr>
      <vt:lpstr>PL điều chỉnh hợp đồng 2023</vt:lpstr>
      <vt:lpstr>'01- Thị trấn Lăng Can'!Print_Area</vt:lpstr>
      <vt:lpstr>'PL điều chỉnh hợp đồng 2023'!Print_Area</vt:lpstr>
      <vt:lpstr>'TH nguon'!Print_Area</vt:lpstr>
      <vt:lpstr>'01- Thị trấn Lăng Can'!Print_Titles</vt:lpstr>
      <vt:lpstr>'PL điều chỉnh hợp đồng 2023'!Print_Titles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7</dc:creator>
  <cp:lastModifiedBy>Admin</cp:lastModifiedBy>
  <cp:lastPrinted>2024-05-03T02:45:37Z</cp:lastPrinted>
  <dcterms:created xsi:type="dcterms:W3CDTF">2023-01-31T01:47:47Z</dcterms:created>
  <dcterms:modified xsi:type="dcterms:W3CDTF">2024-05-03T02:49:26Z</dcterms:modified>
</cp:coreProperties>
</file>